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8 - '24\A info o rynku pracy\"/>
    </mc:Choice>
  </mc:AlternateContent>
  <xr:revisionPtr revIDLastSave="0" documentId="13_ncr:1_{2534532B-96BB-40AB-936B-93CA469A84CD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14" l="1"/>
  <c r="V4" i="14"/>
  <c r="W29" i="28"/>
  <c r="C28" i="3"/>
  <c r="D28" i="3"/>
  <c r="F28" i="1"/>
  <c r="C28" i="5"/>
  <c r="H3" i="18"/>
  <c r="G3" i="18"/>
  <c r="F3" i="18"/>
  <c r="E3" i="18"/>
  <c r="D3" i="18"/>
  <c r="X4" i="14" l="1"/>
  <c r="AF3" i="14"/>
  <c r="AB3" i="14"/>
  <c r="AC3" i="14"/>
  <c r="AG3" i="14"/>
  <c r="E29" i="28"/>
  <c r="D28" i="10"/>
  <c r="E27" i="3" l="1"/>
  <c r="D24" i="2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T4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S29" i="28" l="1"/>
  <c r="R29" i="28"/>
  <c r="M29" i="28"/>
  <c r="L29" i="28"/>
  <c r="I29" i="28"/>
  <c r="H29" i="28"/>
  <c r="D29" i="28"/>
  <c r="V29" i="28" l="1"/>
  <c r="X29" i="28" s="1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P18" i="28" l="1"/>
  <c r="AD4" i="28"/>
  <c r="AD5" i="28"/>
  <c r="AD6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F5" i="28" l="1"/>
  <c r="AE5" i="28"/>
  <c r="AF19" i="28"/>
  <c r="AF21" i="28"/>
  <c r="AF17" i="28"/>
  <c r="AF6" i="28"/>
  <c r="AF28" i="28"/>
  <c r="AF7" i="28"/>
  <c r="AF8" i="28"/>
  <c r="AF13" i="28"/>
  <c r="AF18" i="28"/>
  <c r="AF26" i="28"/>
  <c r="Z4" i="28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B4" i="28" l="1"/>
  <c r="AI4" i="28"/>
  <c r="AA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G28" i="1" s="1"/>
  <c r="AE22" i="14" l="1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A4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D28" i="1" l="1"/>
  <c r="E29" i="14" l="1"/>
  <c r="E28" i="1"/>
  <c r="F24" i="2"/>
  <c r="V29" i="14" l="1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14" i="14" l="1"/>
  <c r="W4" i="14"/>
  <c r="X29" i="14"/>
  <c r="X5" i="14"/>
  <c r="X18" i="14"/>
  <c r="W5" i="14"/>
  <c r="X27" i="14"/>
  <c r="W9" i="14"/>
  <c r="W27" i="14"/>
  <c r="X10" i="14"/>
  <c r="X26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X28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X24" i="14"/>
  <c r="W12" i="14"/>
  <c r="X6" i="14"/>
  <c r="X17" i="14"/>
  <c r="W20" i="14"/>
  <c r="X25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H29" i="14" l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27" i="21" l="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<sst xmlns="http://schemas.openxmlformats.org/spreadsheetml/2006/main" count="442" uniqueCount="103">
  <si>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</si>
  <si>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</si>
  <si>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</si>
  <si>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</si>
  <si>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</si>
  <si>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</si>
  <si>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</si>
  <si>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</si>
  <si>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</si>
  <si>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</si>
  <si>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</si>
  <si>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</si>
  <si>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</si>
  <si>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</si>
  <si>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</si>
  <si>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</si>
  <si>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</si>
  <si>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</si>
  <si>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</si>
  <si>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</si>
  <si>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</si>
  <si>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</si>
  <si>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</si>
  <si>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</si>
  <si>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</si>
  <si>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</si>
  <si>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</si>
  <si>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</si>
  <si>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</si>
  <si>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</si>
  <si>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</si>
  <si>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</si>
  <si>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</si>
  <si>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</si>
  <si>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</si>
  <si>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</si>
  <si>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</si>
  <si>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</si>
  <si>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</si>
  <si>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</si>
  <si>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</si>
  <si>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</si>
  <si>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</si>
  <si>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</si>
  <si>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</si>
  <si>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</si>
  <si>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</si>
  <si>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</si>
  <si>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</si>
  <si>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</si>
  <si>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</si>
  <si>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</si>
  <si>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</si>
  <si>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</si>
  <si>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</si>
  <si>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</si>
  <si>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</si>
  <si>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</si>
  <si>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</si>
  <si>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</si>
  <si>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</si>
  <si>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</si>
  <si>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</si>
  <si>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</si>
  <si>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</si>
  <si>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</si>
  <si>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</si>
  <si>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</si>
  <si>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wzrost/spadek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</si>
  <si>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</si>
  <si>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</si>
  <si>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</si>
  <si>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</si>
  <si>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liczba bezrobotnych kobiet stan na 31-07-'24 r.</t>
  </si>
  <si>
    <t>liczba ofert w 07-'24 r.</t>
  </si>
  <si>
    <t>liczba bezrobotnych ogółem stan na 31-07-'24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</si>
  <si>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31-08-'24 r.</t>
    </r>
  </si>
  <si>
    <t>liczba bezrobotnych ogółem stan na 31-08-'23 r.</t>
  </si>
  <si>
    <t>liczba bezrobotnych kobiet stan na 31-08-'24 r.</t>
  </si>
  <si>
    <t>liczba bezrobotnych kobiet stan na 31-08-'23 r.</t>
  </si>
  <si>
    <r>
      <t>liczba bezrobotnych zam. na wsi stan na 31</t>
    </r>
    <r>
      <rPr>
        <sz val="12"/>
        <color theme="1"/>
        <rFont val="Arial"/>
        <family val="2"/>
        <charset val="238"/>
      </rPr>
      <t>-08-'23 r.</t>
    </r>
  </si>
  <si>
    <t>liczba bezrobotnych zam. na wsi stan na 31-07-'24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</si>
  <si>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31-08-'24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</si>
  <si>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31-08-'23 r.</t>
    </r>
  </si>
  <si>
    <t>liczba bezrobotnych pow. 12 m-cy stan na 31-07-'24 r.</t>
  </si>
  <si>
    <r>
      <t>liczba bezrobotnych pow. 12 m-cy stan na 31</t>
    </r>
    <r>
      <rPr>
        <sz val="12"/>
        <color theme="1"/>
        <rFont val="Arial"/>
        <family val="2"/>
        <charset val="238"/>
      </rPr>
      <t>-08-'24 r.</t>
    </r>
  </si>
  <si>
    <r>
      <t>liczba bezrobotnych do 30 r. ż. stan na 31</t>
    </r>
    <r>
      <rPr>
        <sz val="12"/>
        <color theme="1"/>
        <rFont val="Arial"/>
        <family val="2"/>
        <charset val="238"/>
      </rPr>
      <t>-08-'23 r.</t>
    </r>
  </si>
  <si>
    <t>liczba bezrobotnych do 30 r. ż. stan na 31-07-'24 r.</t>
  </si>
  <si>
    <r>
      <t>liczba bezrobotnych do 30 r. ż. stan na 31</t>
    </r>
    <r>
      <rPr>
        <sz val="12"/>
        <color theme="1"/>
        <rFont val="Arial"/>
        <family val="2"/>
        <charset val="238"/>
      </rPr>
      <t>-08-'24 r.</t>
    </r>
  </si>
  <si>
    <r>
      <t>liczba bezrobotnych 50+ stan na 31</t>
    </r>
    <r>
      <rPr>
        <sz val="12"/>
        <color theme="1"/>
        <rFont val="Arial"/>
        <family val="2"/>
        <charset val="238"/>
      </rPr>
      <t>-08-'23 r.</t>
    </r>
  </si>
  <si>
    <t>liczba bezrobotnych 50+ stan na 31-07-'24 r.</t>
  </si>
  <si>
    <r>
      <t>liczba bezrobotnych 50+ stan na 31</t>
    </r>
    <r>
      <rPr>
        <sz val="12"/>
        <color theme="1"/>
        <rFont val="Arial"/>
        <family val="2"/>
        <charset val="238"/>
      </rPr>
      <t>-08-'24 r.</t>
    </r>
  </si>
  <si>
    <t>liczba ofert w 08-'23 r.</t>
  </si>
  <si>
    <t>liczba ofert w 08-'24 r.</t>
  </si>
  <si>
    <t>podjecia pracy niesubs. I-VIII 2024</t>
  </si>
  <si>
    <t>podjecia pracy niesubs. I-VIII 2023</t>
  </si>
  <si>
    <t>praca subs. I-VIII 2023</t>
  </si>
  <si>
    <t>praca subs. I-VIII 2024</t>
  </si>
  <si>
    <t>staże I-VIII 2023</t>
  </si>
  <si>
    <t>staże I-VIII 2024</t>
  </si>
  <si>
    <t>stan na 31-08-2023</t>
  </si>
  <si>
    <t>stan na 31-08-2024</t>
  </si>
  <si>
    <t>Zmiana stanu na k. okr. [liczba bezr.]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</si>
</sst>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69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11" fillId="2" borderId="13" xfId="1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1" fontId="9" fillId="2" borderId="15" xfId="1" applyNumberFormat="1" applyFont="1" applyFill="1" applyBorder="1" applyAlignment="1">
      <alignment horizontal="center" vertical="center" wrapText="1"/>
    </xf>
    <xf numFmtId="1" fontId="11" fillId="2" borderId="15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6" borderId="27" xfId="0" applyFont="1" applyFill="1" applyBorder="1" applyAlignment="1">
      <alignment horizontal="center" vertical="center" wrapText="1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1" fontId="9" fillId="7" borderId="29" xfId="0" applyNumberFormat="1" applyFont="1" applyFill="1" applyBorder="1" applyAlignment="1">
      <alignment horizontal="center" vertical="center"/>
    </xf>
    <xf numFmtId="1" fontId="9" fillId="7" borderId="30" xfId="0" applyNumberFormat="1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left" vertical="top"/>
    </xf>
    <xf numFmtId="0" fontId="2" fillId="2" borderId="4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3" fillId="8" borderId="1" xfId="0" applyNumberFormat="1" applyFont="1" applyFill="1" applyBorder="1" applyAlignment="1">
      <alignment horizontal="left" vertical="center"/>
    </xf>
    <xf numFmtId="3" fontId="2" fillId="8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" fontId="9" fillId="7" borderId="18" xfId="0" applyNumberFormat="1" applyFont="1" applyFill="1" applyBorder="1" applyAlignment="1">
      <alignment horizontal="center" vertical="center" wrapText="1"/>
    </xf>
    <xf numFmtId="1" fontId="9" fillId="7" borderId="10" xfId="0" applyNumberFormat="1" applyFont="1" applyFill="1" applyBorder="1" applyAlignment="1">
      <alignment horizontal="center" vertical="center"/>
    </xf>
    <xf numFmtId="1" fontId="9" fillId="7" borderId="12" xfId="0" applyNumberFormat="1" applyFont="1" applyFill="1" applyBorder="1" applyAlignment="1">
      <alignment horizontal="center" vertical="center"/>
    </xf>
    <xf numFmtId="1" fontId="9" fillId="7" borderId="14" xfId="0" applyNumberFormat="1" applyFont="1" applyFill="1" applyBorder="1" applyAlignment="1">
      <alignment horizontal="center" vertical="center"/>
    </xf>
    <xf numFmtId="1" fontId="9" fillId="7" borderId="20" xfId="0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 wrapText="1"/>
    </xf>
    <xf numFmtId="2" fontId="9" fillId="7" borderId="38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  <xf numFmtId="0" fontId="3" fillId="9" borderId="1" xfId="0" applyFont="1" applyFill="1" applyBorder="1" applyAlignment="1">
      <alignment horizontal="left" vertical="center"/>
    </xf>
    <xf numFmtId="3" fontId="2" fillId="9" borderId="1" xfId="0" applyNumberFormat="1" applyFont="1" applyFill="1" applyBorder="1" applyAlignment="1">
      <alignment horizontal="center" vertical="center"/>
    </xf>
    <xf numFmtId="3" fontId="2" fillId="9" borderId="42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8EDEC"/>
      <color rgb="FFEAF0F6"/>
      <color rgb="FFFEF4EC"/>
      <color rgb="FFF5E4E3"/>
      <color rgb="FFFDE2CB"/>
      <color rgb="FF0000FF"/>
      <color rgb="FFFABF8F"/>
      <color rgb="FFC49F00"/>
      <color rgb="FFFF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dębicki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leżajski</c:v>
                </c:pt>
                <c:pt idx="16">
                  <c:v>niżański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805</c:v>
                </c:pt>
                <c:pt idx="1">
                  <c:v>1020</c:v>
                </c:pt>
                <c:pt idx="2">
                  <c:v>1087</c:v>
                </c:pt>
                <c:pt idx="3">
                  <c:v>1254</c:v>
                </c:pt>
                <c:pt idx="4">
                  <c:v>1512</c:v>
                </c:pt>
                <c:pt idx="5">
                  <c:v>1544</c:v>
                </c:pt>
                <c:pt idx="6">
                  <c:v>1638</c:v>
                </c:pt>
                <c:pt idx="7">
                  <c:v>1980</c:v>
                </c:pt>
                <c:pt idx="8">
                  <c:v>2154</c:v>
                </c:pt>
                <c:pt idx="9">
                  <c:v>2282</c:v>
                </c:pt>
                <c:pt idx="10">
                  <c:v>2297</c:v>
                </c:pt>
                <c:pt idx="11">
                  <c:v>2478</c:v>
                </c:pt>
                <c:pt idx="12">
                  <c:v>2583</c:v>
                </c:pt>
                <c:pt idx="13">
                  <c:v>2714</c:v>
                </c:pt>
                <c:pt idx="14">
                  <c:v>2793</c:v>
                </c:pt>
                <c:pt idx="15">
                  <c:v>2853</c:v>
                </c:pt>
                <c:pt idx="16">
                  <c:v>2858</c:v>
                </c:pt>
                <c:pt idx="17">
                  <c:v>3044</c:v>
                </c:pt>
                <c:pt idx="18">
                  <c:v>3128</c:v>
                </c:pt>
                <c:pt idx="19">
                  <c:v>3286</c:v>
                </c:pt>
                <c:pt idx="20">
                  <c:v>3535</c:v>
                </c:pt>
                <c:pt idx="21">
                  <c:v>4280</c:v>
                </c:pt>
                <c:pt idx="22">
                  <c:v>4455</c:v>
                </c:pt>
                <c:pt idx="23">
                  <c:v>4717</c:v>
                </c:pt>
                <c:pt idx="24">
                  <c:v>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bieszczadzki</c:v>
                </c:pt>
                <c:pt idx="3">
                  <c:v>leski</c:v>
                </c:pt>
                <c:pt idx="4">
                  <c:v>łańcucki</c:v>
                </c:pt>
                <c:pt idx="5">
                  <c:v>sanocki</c:v>
                </c:pt>
                <c:pt idx="6">
                  <c:v>Krosno</c:v>
                </c:pt>
                <c:pt idx="7">
                  <c:v>lubaczowski</c:v>
                </c:pt>
                <c:pt idx="8">
                  <c:v>tarnobrzeski </c:v>
                </c:pt>
                <c:pt idx="9">
                  <c:v>Tarnobrzeg</c:v>
                </c:pt>
                <c:pt idx="10">
                  <c:v>kolbuszowski</c:v>
                </c:pt>
                <c:pt idx="11">
                  <c:v>Przemyśl</c:v>
                </c:pt>
                <c:pt idx="12">
                  <c:v>rzeszowski</c:v>
                </c:pt>
                <c:pt idx="13">
                  <c:v>jarosławski</c:v>
                </c:pt>
                <c:pt idx="14">
                  <c:v>leżajski</c:v>
                </c:pt>
                <c:pt idx="15">
                  <c:v>niżański</c:v>
                </c:pt>
                <c:pt idx="16">
                  <c:v>stalowowolski</c:v>
                </c:pt>
                <c:pt idx="17">
                  <c:v>ropczycko-sędziszowski</c:v>
                </c:pt>
                <c:pt idx="18">
                  <c:v>krośnieński</c:v>
                </c:pt>
                <c:pt idx="19">
                  <c:v>jasielski</c:v>
                </c:pt>
                <c:pt idx="20">
                  <c:v>strzyżowski</c:v>
                </c:pt>
                <c:pt idx="21">
                  <c:v>przeworski</c:v>
                </c:pt>
                <c:pt idx="22">
                  <c:v>Rzeszów</c:v>
                </c:pt>
                <c:pt idx="23">
                  <c:v>dębicki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3</c:v>
                </c:pt>
                <c:pt idx="1">
                  <c:v>6</c:v>
                </c:pt>
                <c:pt idx="2">
                  <c:v>17</c:v>
                </c:pt>
                <c:pt idx="3">
                  <c:v>21</c:v>
                </c:pt>
                <c:pt idx="4">
                  <c:v>24</c:v>
                </c:pt>
                <c:pt idx="5">
                  <c:v>24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49</c:v>
                </c:pt>
                <c:pt idx="10">
                  <c:v>55</c:v>
                </c:pt>
                <c:pt idx="11">
                  <c:v>58</c:v>
                </c:pt>
                <c:pt idx="12">
                  <c:v>59</c:v>
                </c:pt>
                <c:pt idx="13">
                  <c:v>66</c:v>
                </c:pt>
                <c:pt idx="14">
                  <c:v>66</c:v>
                </c:pt>
                <c:pt idx="15">
                  <c:v>70</c:v>
                </c:pt>
                <c:pt idx="16">
                  <c:v>79</c:v>
                </c:pt>
                <c:pt idx="17">
                  <c:v>86</c:v>
                </c:pt>
                <c:pt idx="18">
                  <c:v>104</c:v>
                </c:pt>
                <c:pt idx="19">
                  <c:v>168</c:v>
                </c:pt>
                <c:pt idx="20">
                  <c:v>171</c:v>
                </c:pt>
                <c:pt idx="21">
                  <c:v>174</c:v>
                </c:pt>
                <c:pt idx="22">
                  <c:v>216</c:v>
                </c:pt>
                <c:pt idx="23">
                  <c:v>220</c:v>
                </c:pt>
                <c:pt idx="24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niżański</c:v>
                </c:pt>
                <c:pt idx="1">
                  <c:v>jarosławski</c:v>
                </c:pt>
                <c:pt idx="2">
                  <c:v>sanocki</c:v>
                </c:pt>
                <c:pt idx="3">
                  <c:v>krośnieński</c:v>
                </c:pt>
                <c:pt idx="4">
                  <c:v>rzeszowski</c:v>
                </c:pt>
                <c:pt idx="5">
                  <c:v>strzyżowski</c:v>
                </c:pt>
                <c:pt idx="6">
                  <c:v>tarnobrzeski </c:v>
                </c:pt>
                <c:pt idx="7">
                  <c:v>jasielski</c:v>
                </c:pt>
                <c:pt idx="8">
                  <c:v>ropczycko-sędziszowski</c:v>
                </c:pt>
                <c:pt idx="9">
                  <c:v>bieszczadzki</c:v>
                </c:pt>
                <c:pt idx="10">
                  <c:v>leski</c:v>
                </c:pt>
                <c:pt idx="11">
                  <c:v>stalowowolski</c:v>
                </c:pt>
                <c:pt idx="12">
                  <c:v>Krosno</c:v>
                </c:pt>
                <c:pt idx="13">
                  <c:v>przemyski</c:v>
                </c:pt>
                <c:pt idx="14">
                  <c:v>Tarnobrzeg</c:v>
                </c:pt>
                <c:pt idx="15">
                  <c:v>Przemyśl</c:v>
                </c:pt>
                <c:pt idx="16">
                  <c:v>kolbuszowski</c:v>
                </c:pt>
                <c:pt idx="17">
                  <c:v>leżajski</c:v>
                </c:pt>
                <c:pt idx="18">
                  <c:v>lubaczowski</c:v>
                </c:pt>
                <c:pt idx="19">
                  <c:v>brzozowski</c:v>
                </c:pt>
                <c:pt idx="20">
                  <c:v>Rzeszów</c:v>
                </c:pt>
                <c:pt idx="21">
                  <c:v>dębicki</c:v>
                </c:pt>
                <c:pt idx="22">
                  <c:v>łańcucki</c:v>
                </c:pt>
                <c:pt idx="23">
                  <c:v>przeworski</c:v>
                </c:pt>
                <c:pt idx="24">
                  <c:v>mielecki</c:v>
                </c:pt>
                <c:pt idx="25">
                  <c:v>województwo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-20</c:v>
                </c:pt>
                <c:pt idx="1">
                  <c:v>-10</c:v>
                </c:pt>
                <c:pt idx="2">
                  <c:v>-7</c:v>
                </c:pt>
                <c:pt idx="3">
                  <c:v>-4</c:v>
                </c:pt>
                <c:pt idx="4">
                  <c:v>-3</c:v>
                </c:pt>
                <c:pt idx="5">
                  <c:v>2</c:v>
                </c:pt>
                <c:pt idx="6">
                  <c:v>2</c:v>
                </c:pt>
                <c:pt idx="7">
                  <c:v>11</c:v>
                </c:pt>
                <c:pt idx="8">
                  <c:v>13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29</c:v>
                </c:pt>
                <c:pt idx="15">
                  <c:v>33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51</c:v>
                </c:pt>
                <c:pt idx="20">
                  <c:v>51</c:v>
                </c:pt>
                <c:pt idx="21">
                  <c:v>76</c:v>
                </c:pt>
                <c:pt idx="22">
                  <c:v>91</c:v>
                </c:pt>
                <c:pt idx="23">
                  <c:v>117</c:v>
                </c:pt>
                <c:pt idx="24">
                  <c:v>135</c:v>
                </c:pt>
                <c:pt idx="25">
                  <c:v>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sanocki</c:v>
                </c:pt>
                <c:pt idx="12">
                  <c:v>przemyski</c:v>
                </c:pt>
                <c:pt idx="13">
                  <c:v>ropczycko-sędziszowski</c:v>
                </c:pt>
                <c:pt idx="14">
                  <c:v>dębicki</c:v>
                </c:pt>
                <c:pt idx="15">
                  <c:v>niżański</c:v>
                </c:pt>
                <c:pt idx="16">
                  <c:v>leżajski</c:v>
                </c:pt>
                <c:pt idx="17">
                  <c:v>mielecki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440</c:v>
                </c:pt>
                <c:pt idx="1">
                  <c:v>484</c:v>
                </c:pt>
                <c:pt idx="2">
                  <c:v>536</c:v>
                </c:pt>
                <c:pt idx="3">
                  <c:v>651</c:v>
                </c:pt>
                <c:pt idx="4">
                  <c:v>695</c:v>
                </c:pt>
                <c:pt idx="5">
                  <c:v>736</c:v>
                </c:pt>
                <c:pt idx="6">
                  <c:v>774</c:v>
                </c:pt>
                <c:pt idx="7">
                  <c:v>1056</c:v>
                </c:pt>
                <c:pt idx="8">
                  <c:v>1092</c:v>
                </c:pt>
                <c:pt idx="9">
                  <c:v>1186</c:v>
                </c:pt>
                <c:pt idx="10">
                  <c:v>1221</c:v>
                </c:pt>
                <c:pt idx="11">
                  <c:v>1341</c:v>
                </c:pt>
                <c:pt idx="12">
                  <c:v>1406</c:v>
                </c:pt>
                <c:pt idx="13">
                  <c:v>1417</c:v>
                </c:pt>
                <c:pt idx="14">
                  <c:v>1445</c:v>
                </c:pt>
                <c:pt idx="15">
                  <c:v>1453</c:v>
                </c:pt>
                <c:pt idx="16">
                  <c:v>1493</c:v>
                </c:pt>
                <c:pt idx="17">
                  <c:v>1538</c:v>
                </c:pt>
                <c:pt idx="18">
                  <c:v>1603</c:v>
                </c:pt>
                <c:pt idx="19">
                  <c:v>1769</c:v>
                </c:pt>
                <c:pt idx="20">
                  <c:v>1846</c:v>
                </c:pt>
                <c:pt idx="21">
                  <c:v>2195</c:v>
                </c:pt>
                <c:pt idx="22">
                  <c:v>2232</c:v>
                </c:pt>
                <c:pt idx="23">
                  <c:v>2599</c:v>
                </c:pt>
                <c:pt idx="24">
                  <c:v>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leski</c:v>
                </c:pt>
                <c:pt idx="5">
                  <c:v>kolbuszowski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przemyski</c:v>
                </c:pt>
                <c:pt idx="17">
                  <c:v>strzyżowski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635</c:v>
                </c:pt>
                <c:pt idx="1">
                  <c:v>798</c:v>
                </c:pt>
                <c:pt idx="2">
                  <c:v>1034</c:v>
                </c:pt>
                <c:pt idx="3">
                  <c:v>1065</c:v>
                </c:pt>
                <c:pt idx="4">
                  <c:v>1250</c:v>
                </c:pt>
                <c:pt idx="5">
                  <c:v>1352</c:v>
                </c:pt>
                <c:pt idx="6">
                  <c:v>1375</c:v>
                </c:pt>
                <c:pt idx="7">
                  <c:v>1562</c:v>
                </c:pt>
                <c:pt idx="8">
                  <c:v>1612</c:v>
                </c:pt>
                <c:pt idx="9">
                  <c:v>1680</c:v>
                </c:pt>
                <c:pt idx="10">
                  <c:v>1873</c:v>
                </c:pt>
                <c:pt idx="11">
                  <c:v>1920</c:v>
                </c:pt>
                <c:pt idx="12">
                  <c:v>1944</c:v>
                </c:pt>
                <c:pt idx="13">
                  <c:v>2147</c:v>
                </c:pt>
                <c:pt idx="14">
                  <c:v>2471</c:v>
                </c:pt>
                <c:pt idx="15">
                  <c:v>2640</c:v>
                </c:pt>
                <c:pt idx="16">
                  <c:v>2725</c:v>
                </c:pt>
                <c:pt idx="17">
                  <c:v>2735</c:v>
                </c:pt>
                <c:pt idx="18">
                  <c:v>3257</c:v>
                </c:pt>
                <c:pt idx="19">
                  <c:v>3347</c:v>
                </c:pt>
                <c:pt idx="20">
                  <c:v>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krośnieński</c:v>
                </c:pt>
                <c:pt idx="8">
                  <c:v>dębicki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Przemyśl</c:v>
                </c:pt>
                <c:pt idx="13">
                  <c:v>mielecki</c:v>
                </c:pt>
                <c:pt idx="14">
                  <c:v>sanocki</c:v>
                </c:pt>
                <c:pt idx="15">
                  <c:v>niżański</c:v>
                </c:pt>
                <c:pt idx="16">
                  <c:v>leżajski</c:v>
                </c:pt>
                <c:pt idx="17">
                  <c:v>przemyski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338</c:v>
                </c:pt>
                <c:pt idx="1">
                  <c:v>533</c:v>
                </c:pt>
                <c:pt idx="2">
                  <c:v>619</c:v>
                </c:pt>
                <c:pt idx="3">
                  <c:v>622</c:v>
                </c:pt>
                <c:pt idx="4">
                  <c:v>725</c:v>
                </c:pt>
                <c:pt idx="5">
                  <c:v>793</c:v>
                </c:pt>
                <c:pt idx="6">
                  <c:v>849</c:v>
                </c:pt>
                <c:pt idx="7">
                  <c:v>973</c:v>
                </c:pt>
                <c:pt idx="8">
                  <c:v>980</c:v>
                </c:pt>
                <c:pt idx="9">
                  <c:v>1021</c:v>
                </c:pt>
                <c:pt idx="10">
                  <c:v>1191</c:v>
                </c:pt>
                <c:pt idx="11">
                  <c:v>1296</c:v>
                </c:pt>
                <c:pt idx="12">
                  <c:v>1432</c:v>
                </c:pt>
                <c:pt idx="13">
                  <c:v>1440</c:v>
                </c:pt>
                <c:pt idx="14">
                  <c:v>1457</c:v>
                </c:pt>
                <c:pt idx="15">
                  <c:v>1621</c:v>
                </c:pt>
                <c:pt idx="16">
                  <c:v>1633</c:v>
                </c:pt>
                <c:pt idx="17">
                  <c:v>1657</c:v>
                </c:pt>
                <c:pt idx="18">
                  <c:v>1870</c:v>
                </c:pt>
                <c:pt idx="19">
                  <c:v>1923</c:v>
                </c:pt>
                <c:pt idx="20">
                  <c:v>2343</c:v>
                </c:pt>
                <c:pt idx="21">
                  <c:v>2423</c:v>
                </c:pt>
                <c:pt idx="22">
                  <c:v>2482</c:v>
                </c:pt>
                <c:pt idx="23">
                  <c:v>2886</c:v>
                </c:pt>
                <c:pt idx="24">
                  <c:v>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Przemyśl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niżański</c:v>
                </c:pt>
                <c:pt idx="12">
                  <c:v>sanocki</c:v>
                </c:pt>
                <c:pt idx="13">
                  <c:v>łańcucki</c:v>
                </c:pt>
                <c:pt idx="14">
                  <c:v>przemyski</c:v>
                </c:pt>
                <c:pt idx="15">
                  <c:v>leżajski</c:v>
                </c:pt>
                <c:pt idx="16">
                  <c:v>ropczycko-sędziszowski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brzozowski</c:v>
                </c:pt>
                <c:pt idx="20">
                  <c:v>przeworski</c:v>
                </c:pt>
                <c:pt idx="21">
                  <c:v>Rzeszów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170</c:v>
                </c:pt>
                <c:pt idx="1">
                  <c:v>214</c:v>
                </c:pt>
                <c:pt idx="2">
                  <c:v>260</c:v>
                </c:pt>
                <c:pt idx="3">
                  <c:v>326</c:v>
                </c:pt>
                <c:pt idx="4">
                  <c:v>370</c:v>
                </c:pt>
                <c:pt idx="5">
                  <c:v>433</c:v>
                </c:pt>
                <c:pt idx="6">
                  <c:v>435</c:v>
                </c:pt>
                <c:pt idx="7">
                  <c:v>440</c:v>
                </c:pt>
                <c:pt idx="8">
                  <c:v>529</c:v>
                </c:pt>
                <c:pt idx="9">
                  <c:v>564</c:v>
                </c:pt>
                <c:pt idx="10">
                  <c:v>704</c:v>
                </c:pt>
                <c:pt idx="11">
                  <c:v>735</c:v>
                </c:pt>
                <c:pt idx="12">
                  <c:v>739</c:v>
                </c:pt>
                <c:pt idx="13">
                  <c:v>760</c:v>
                </c:pt>
                <c:pt idx="14">
                  <c:v>768</c:v>
                </c:pt>
                <c:pt idx="15">
                  <c:v>774</c:v>
                </c:pt>
                <c:pt idx="16">
                  <c:v>806</c:v>
                </c:pt>
                <c:pt idx="17">
                  <c:v>824</c:v>
                </c:pt>
                <c:pt idx="18">
                  <c:v>840</c:v>
                </c:pt>
                <c:pt idx="19">
                  <c:v>925</c:v>
                </c:pt>
                <c:pt idx="20">
                  <c:v>928</c:v>
                </c:pt>
                <c:pt idx="21">
                  <c:v>983</c:v>
                </c:pt>
                <c:pt idx="22">
                  <c:v>1099</c:v>
                </c:pt>
                <c:pt idx="23">
                  <c:v>1185</c:v>
                </c:pt>
                <c:pt idx="24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ropczycko-sędziszowski</c:v>
                </c:pt>
                <c:pt idx="12">
                  <c:v>sanocki</c:v>
                </c:pt>
                <c:pt idx="13">
                  <c:v>leżajski</c:v>
                </c:pt>
                <c:pt idx="14">
                  <c:v>przemyski</c:v>
                </c:pt>
                <c:pt idx="15">
                  <c:v>niżański</c:v>
                </c:pt>
                <c:pt idx="16">
                  <c:v>przeworski</c:v>
                </c:pt>
                <c:pt idx="17">
                  <c:v>Przemyśl</c:v>
                </c:pt>
                <c:pt idx="18">
                  <c:v>strzyżowski</c:v>
                </c:pt>
                <c:pt idx="19">
                  <c:v>mielecki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199</c:v>
                </c:pt>
                <c:pt idx="1">
                  <c:v>234</c:v>
                </c:pt>
                <c:pt idx="2">
                  <c:v>302</c:v>
                </c:pt>
                <c:pt idx="3">
                  <c:v>334</c:v>
                </c:pt>
                <c:pt idx="4">
                  <c:v>384</c:v>
                </c:pt>
                <c:pt idx="5">
                  <c:v>407</c:v>
                </c:pt>
                <c:pt idx="6">
                  <c:v>447</c:v>
                </c:pt>
                <c:pt idx="7">
                  <c:v>498</c:v>
                </c:pt>
                <c:pt idx="8">
                  <c:v>519</c:v>
                </c:pt>
                <c:pt idx="9">
                  <c:v>544</c:v>
                </c:pt>
                <c:pt idx="10">
                  <c:v>565</c:v>
                </c:pt>
                <c:pt idx="11">
                  <c:v>566</c:v>
                </c:pt>
                <c:pt idx="12">
                  <c:v>624</c:v>
                </c:pt>
                <c:pt idx="13">
                  <c:v>655</c:v>
                </c:pt>
                <c:pt idx="14">
                  <c:v>666</c:v>
                </c:pt>
                <c:pt idx="15">
                  <c:v>678</c:v>
                </c:pt>
                <c:pt idx="16">
                  <c:v>678</c:v>
                </c:pt>
                <c:pt idx="17">
                  <c:v>682</c:v>
                </c:pt>
                <c:pt idx="18">
                  <c:v>686</c:v>
                </c:pt>
                <c:pt idx="19">
                  <c:v>746</c:v>
                </c:pt>
                <c:pt idx="20">
                  <c:v>846</c:v>
                </c:pt>
                <c:pt idx="21">
                  <c:v>1054</c:v>
                </c:pt>
                <c:pt idx="22">
                  <c:v>1057</c:v>
                </c:pt>
                <c:pt idx="23">
                  <c:v>1059</c:v>
                </c:pt>
                <c:pt idx="24">
                  <c:v>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przemyski</c:v>
                </c:pt>
                <c:pt idx="1">
                  <c:v>leski</c:v>
                </c:pt>
                <c:pt idx="2">
                  <c:v>łańcucki</c:v>
                </c:pt>
                <c:pt idx="3">
                  <c:v>Tarnobrzeg</c:v>
                </c:pt>
                <c:pt idx="4">
                  <c:v>sanocki</c:v>
                </c:pt>
                <c:pt idx="5">
                  <c:v>Krosno</c:v>
                </c:pt>
                <c:pt idx="6">
                  <c:v>niżański</c:v>
                </c:pt>
                <c:pt idx="7">
                  <c:v>lubaczowski</c:v>
                </c:pt>
                <c:pt idx="8">
                  <c:v>stalowowolski</c:v>
                </c:pt>
                <c:pt idx="9">
                  <c:v>brzozowski</c:v>
                </c:pt>
                <c:pt idx="10">
                  <c:v>kolbuszowski</c:v>
                </c:pt>
                <c:pt idx="11">
                  <c:v>tarnobrzeski </c:v>
                </c:pt>
                <c:pt idx="12">
                  <c:v>Przemyśl</c:v>
                </c:pt>
                <c:pt idx="13">
                  <c:v>bieszczadzki</c:v>
                </c:pt>
                <c:pt idx="14">
                  <c:v>ropczycko-sędziszowski</c:v>
                </c:pt>
                <c:pt idx="15">
                  <c:v>leżajski</c:v>
                </c:pt>
                <c:pt idx="16">
                  <c:v>krośnieński</c:v>
                </c:pt>
                <c:pt idx="17">
                  <c:v>rzeszowski</c:v>
                </c:pt>
                <c:pt idx="18">
                  <c:v>jarosławski</c:v>
                </c:pt>
                <c:pt idx="19">
                  <c:v>przeworski</c:v>
                </c:pt>
                <c:pt idx="20">
                  <c:v>strzyżowski</c:v>
                </c:pt>
                <c:pt idx="21">
                  <c:v>jasielski</c:v>
                </c:pt>
                <c:pt idx="22">
                  <c:v>mielecki</c:v>
                </c:pt>
                <c:pt idx="23">
                  <c:v>dębicki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15</c:v>
                </c:pt>
                <c:pt idx="1">
                  <c:v>30</c:v>
                </c:pt>
                <c:pt idx="2">
                  <c:v>36</c:v>
                </c:pt>
                <c:pt idx="3">
                  <c:v>56</c:v>
                </c:pt>
                <c:pt idx="4">
                  <c:v>60</c:v>
                </c:pt>
                <c:pt idx="5">
                  <c:v>61</c:v>
                </c:pt>
                <c:pt idx="6">
                  <c:v>63</c:v>
                </c:pt>
                <c:pt idx="7">
                  <c:v>67</c:v>
                </c:pt>
                <c:pt idx="8">
                  <c:v>81</c:v>
                </c:pt>
                <c:pt idx="9">
                  <c:v>86</c:v>
                </c:pt>
                <c:pt idx="10">
                  <c:v>89</c:v>
                </c:pt>
                <c:pt idx="11">
                  <c:v>90</c:v>
                </c:pt>
                <c:pt idx="12">
                  <c:v>94</c:v>
                </c:pt>
                <c:pt idx="13">
                  <c:v>98</c:v>
                </c:pt>
                <c:pt idx="14">
                  <c:v>101</c:v>
                </c:pt>
                <c:pt idx="15">
                  <c:v>106</c:v>
                </c:pt>
                <c:pt idx="16">
                  <c:v>108</c:v>
                </c:pt>
                <c:pt idx="17">
                  <c:v>122</c:v>
                </c:pt>
                <c:pt idx="18">
                  <c:v>164</c:v>
                </c:pt>
                <c:pt idx="19">
                  <c:v>192</c:v>
                </c:pt>
                <c:pt idx="20">
                  <c:v>227</c:v>
                </c:pt>
                <c:pt idx="21">
                  <c:v>236</c:v>
                </c:pt>
                <c:pt idx="22">
                  <c:v>314</c:v>
                </c:pt>
                <c:pt idx="23">
                  <c:v>321</c:v>
                </c:pt>
                <c:pt idx="24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łańcucki</c:v>
                </c:pt>
                <c:pt idx="1">
                  <c:v>bieszczadzki</c:v>
                </c:pt>
                <c:pt idx="2">
                  <c:v>przemyski</c:v>
                </c:pt>
                <c:pt idx="3">
                  <c:v>Krosno</c:v>
                </c:pt>
                <c:pt idx="4">
                  <c:v>leski</c:v>
                </c:pt>
                <c:pt idx="5">
                  <c:v>Tarnobrzeg</c:v>
                </c:pt>
                <c:pt idx="6">
                  <c:v>stalowowolski</c:v>
                </c:pt>
                <c:pt idx="7">
                  <c:v>ropczycko-sędziszowski</c:v>
                </c:pt>
                <c:pt idx="8">
                  <c:v>krośnieński</c:v>
                </c:pt>
                <c:pt idx="9">
                  <c:v>lubaczowski</c:v>
                </c:pt>
                <c:pt idx="10">
                  <c:v>przeworski</c:v>
                </c:pt>
                <c:pt idx="11">
                  <c:v>Przemyśl</c:v>
                </c:pt>
                <c:pt idx="12">
                  <c:v>sanocki</c:v>
                </c:pt>
                <c:pt idx="13">
                  <c:v>niżański</c:v>
                </c:pt>
                <c:pt idx="14">
                  <c:v>kolbuszowski</c:v>
                </c:pt>
                <c:pt idx="15">
                  <c:v>jarosławski</c:v>
                </c:pt>
                <c:pt idx="16">
                  <c:v>mielecki</c:v>
                </c:pt>
                <c:pt idx="17">
                  <c:v>strzyżowski</c:v>
                </c:pt>
                <c:pt idx="18">
                  <c:v>rzeszowski</c:v>
                </c:pt>
                <c:pt idx="19">
                  <c:v>tarnobrzeski </c:v>
                </c:pt>
                <c:pt idx="20">
                  <c:v>leżajski</c:v>
                </c:pt>
                <c:pt idx="21">
                  <c:v>Rzeszów</c:v>
                </c:pt>
                <c:pt idx="22">
                  <c:v>brzozowski</c:v>
                </c:pt>
                <c:pt idx="23">
                  <c:v>dębicki</c:v>
                </c:pt>
                <c:pt idx="24">
                  <c:v>jasielski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20</c:v>
                </c:pt>
                <c:pt idx="5">
                  <c:v>27</c:v>
                </c:pt>
                <c:pt idx="6">
                  <c:v>30</c:v>
                </c:pt>
                <c:pt idx="7">
                  <c:v>31</c:v>
                </c:pt>
                <c:pt idx="8">
                  <c:v>35</c:v>
                </c:pt>
                <c:pt idx="9">
                  <c:v>36</c:v>
                </c:pt>
                <c:pt idx="10">
                  <c:v>36</c:v>
                </c:pt>
                <c:pt idx="11">
                  <c:v>36</c:v>
                </c:pt>
                <c:pt idx="12">
                  <c:v>39</c:v>
                </c:pt>
                <c:pt idx="13">
                  <c:v>43</c:v>
                </c:pt>
                <c:pt idx="14">
                  <c:v>46</c:v>
                </c:pt>
                <c:pt idx="15">
                  <c:v>48</c:v>
                </c:pt>
                <c:pt idx="16">
                  <c:v>49</c:v>
                </c:pt>
                <c:pt idx="17">
                  <c:v>51</c:v>
                </c:pt>
                <c:pt idx="18">
                  <c:v>53</c:v>
                </c:pt>
                <c:pt idx="19">
                  <c:v>54</c:v>
                </c:pt>
                <c:pt idx="20">
                  <c:v>59</c:v>
                </c:pt>
                <c:pt idx="21">
                  <c:v>61</c:v>
                </c:pt>
                <c:pt idx="22">
                  <c:v>75</c:v>
                </c:pt>
                <c:pt idx="23">
                  <c:v>75</c:v>
                </c:pt>
                <c:pt idx="2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76</v>
      </c>
      <c r="D2" s="38" t="s">
        <v>75</v>
      </c>
      <c r="E2" s="37" t="s">
        <v>33</v>
      </c>
      <c r="F2" s="38" t="s">
        <v>77</v>
      </c>
      <c r="G2" s="37" t="s">
        <v>26</v>
      </c>
    </row>
    <row r="3" spans="2:7" x14ac:dyDescent="0.2">
      <c r="B3" s="5" t="s">
        <v>0</v>
      </c>
      <c r="C3" s="6">
        <v>1020</v>
      </c>
      <c r="D3" s="42">
        <v>1000</v>
      </c>
      <c r="E3" s="6">
        <f>SUM(C3)-D3</f>
        <v>20</v>
      </c>
      <c r="F3" s="42">
        <v>973</v>
      </c>
      <c r="G3" s="6">
        <f>SUM(C3)-F3</f>
        <v>47</v>
      </c>
    </row>
    <row r="4" spans="2:7" x14ac:dyDescent="0.2">
      <c r="B4" s="5" t="s">
        <v>1</v>
      </c>
      <c r="C4" s="6">
        <v>3535</v>
      </c>
      <c r="D4" s="42">
        <v>3484</v>
      </c>
      <c r="E4" s="6">
        <f t="shared" ref="E4:E27" si="0">SUM(C4)-D4</f>
        <v>51</v>
      </c>
      <c r="F4" s="42">
        <v>3667</v>
      </c>
      <c r="G4" s="6">
        <f t="shared" ref="G4:G27" si="1">SUM(C4)-F4</f>
        <v>-132</v>
      </c>
    </row>
    <row r="5" spans="2:7" x14ac:dyDescent="0.2">
      <c r="B5" s="5" t="s">
        <v>2</v>
      </c>
      <c r="C5" s="6">
        <v>2297</v>
      </c>
      <c r="D5" s="42">
        <v>2221</v>
      </c>
      <c r="E5" s="6">
        <f t="shared" si="0"/>
        <v>76</v>
      </c>
      <c r="F5" s="42">
        <v>2398</v>
      </c>
      <c r="G5" s="6">
        <f t="shared" si="1"/>
        <v>-101</v>
      </c>
    </row>
    <row r="6" spans="2:7" x14ac:dyDescent="0.2">
      <c r="B6" s="5" t="s">
        <v>3</v>
      </c>
      <c r="C6" s="6">
        <v>4280</v>
      </c>
      <c r="D6" s="42">
        <v>4290</v>
      </c>
      <c r="E6" s="6">
        <f t="shared" si="0"/>
        <v>-10</v>
      </c>
      <c r="F6" s="42">
        <v>4215</v>
      </c>
      <c r="G6" s="6">
        <f t="shared" si="1"/>
        <v>65</v>
      </c>
    </row>
    <row r="7" spans="2:7" x14ac:dyDescent="0.2">
      <c r="B7" s="5" t="s">
        <v>4</v>
      </c>
      <c r="C7" s="6">
        <v>4717</v>
      </c>
      <c r="D7" s="42">
        <v>4706</v>
      </c>
      <c r="E7" s="6">
        <f t="shared" si="0"/>
        <v>11</v>
      </c>
      <c r="F7" s="42">
        <v>4772</v>
      </c>
      <c r="G7" s="6">
        <f t="shared" si="1"/>
        <v>-55</v>
      </c>
    </row>
    <row r="8" spans="2:7" x14ac:dyDescent="0.2">
      <c r="B8" s="5" t="s">
        <v>5</v>
      </c>
      <c r="C8" s="6">
        <v>1544</v>
      </c>
      <c r="D8" s="42">
        <v>1505</v>
      </c>
      <c r="E8" s="6">
        <f t="shared" si="0"/>
        <v>39</v>
      </c>
      <c r="F8" s="42">
        <v>1511</v>
      </c>
      <c r="G8" s="6">
        <f t="shared" si="1"/>
        <v>33</v>
      </c>
    </row>
    <row r="9" spans="2:7" x14ac:dyDescent="0.2">
      <c r="B9" s="9" t="s">
        <v>6</v>
      </c>
      <c r="C9" s="6">
        <v>2154</v>
      </c>
      <c r="D9" s="42">
        <v>2158</v>
      </c>
      <c r="E9" s="6">
        <f t="shared" si="0"/>
        <v>-4</v>
      </c>
      <c r="F9" s="42">
        <v>2126</v>
      </c>
      <c r="G9" s="6">
        <f t="shared" si="1"/>
        <v>28</v>
      </c>
    </row>
    <row r="10" spans="2:7" x14ac:dyDescent="0.2">
      <c r="B10" s="5" t="s">
        <v>7</v>
      </c>
      <c r="C10" s="6">
        <v>1512</v>
      </c>
      <c r="D10" s="42">
        <v>1492</v>
      </c>
      <c r="E10" s="6">
        <f t="shared" si="0"/>
        <v>20</v>
      </c>
      <c r="F10" s="42">
        <v>1541</v>
      </c>
      <c r="G10" s="6">
        <f t="shared" si="1"/>
        <v>-29</v>
      </c>
    </row>
    <row r="11" spans="2:7" x14ac:dyDescent="0.2">
      <c r="B11" s="5" t="s">
        <v>8</v>
      </c>
      <c r="C11" s="6">
        <v>2853</v>
      </c>
      <c r="D11" s="42">
        <v>2812</v>
      </c>
      <c r="E11" s="6">
        <f t="shared" si="0"/>
        <v>41</v>
      </c>
      <c r="F11" s="42">
        <v>2897</v>
      </c>
      <c r="G11" s="6">
        <f t="shared" si="1"/>
        <v>-44</v>
      </c>
    </row>
    <row r="12" spans="2:7" x14ac:dyDescent="0.2">
      <c r="B12" s="5" t="s">
        <v>9</v>
      </c>
      <c r="C12" s="6">
        <v>1638</v>
      </c>
      <c r="D12" s="42">
        <v>1594</v>
      </c>
      <c r="E12" s="6">
        <f t="shared" si="0"/>
        <v>44</v>
      </c>
      <c r="F12" s="42">
        <v>1692</v>
      </c>
      <c r="G12" s="6">
        <f t="shared" si="1"/>
        <v>-54</v>
      </c>
    </row>
    <row r="13" spans="2:7" x14ac:dyDescent="0.2">
      <c r="B13" s="5" t="s">
        <v>10</v>
      </c>
      <c r="C13" s="6">
        <v>2478</v>
      </c>
      <c r="D13" s="42">
        <v>2387</v>
      </c>
      <c r="E13" s="6">
        <f t="shared" si="0"/>
        <v>91</v>
      </c>
      <c r="F13" s="42">
        <v>2520</v>
      </c>
      <c r="G13" s="6">
        <f t="shared" si="1"/>
        <v>-42</v>
      </c>
    </row>
    <row r="14" spans="2:7" x14ac:dyDescent="0.2">
      <c r="B14" s="5" t="s">
        <v>11</v>
      </c>
      <c r="C14" s="6">
        <v>3128</v>
      </c>
      <c r="D14" s="42">
        <v>2993</v>
      </c>
      <c r="E14" s="6">
        <f t="shared" si="0"/>
        <v>135</v>
      </c>
      <c r="F14" s="42">
        <v>2918</v>
      </c>
      <c r="G14" s="6">
        <f t="shared" si="1"/>
        <v>210</v>
      </c>
    </row>
    <row r="15" spans="2:7" x14ac:dyDescent="0.2">
      <c r="B15" s="5" t="s">
        <v>12</v>
      </c>
      <c r="C15" s="6">
        <v>2858</v>
      </c>
      <c r="D15" s="42">
        <v>2878</v>
      </c>
      <c r="E15" s="6">
        <f t="shared" si="0"/>
        <v>-20</v>
      </c>
      <c r="F15" s="42">
        <v>3011</v>
      </c>
      <c r="G15" s="6">
        <f t="shared" si="1"/>
        <v>-153</v>
      </c>
    </row>
    <row r="16" spans="2:7" x14ac:dyDescent="0.2">
      <c r="B16" s="5" t="s">
        <v>13</v>
      </c>
      <c r="C16" s="6">
        <v>2793</v>
      </c>
      <c r="D16" s="42">
        <v>2771</v>
      </c>
      <c r="E16" s="6">
        <f t="shared" si="0"/>
        <v>22</v>
      </c>
      <c r="F16" s="42">
        <v>2757</v>
      </c>
      <c r="G16" s="6">
        <f t="shared" si="1"/>
        <v>36</v>
      </c>
    </row>
    <row r="17" spans="2:7" x14ac:dyDescent="0.2">
      <c r="B17" s="5" t="s">
        <v>14</v>
      </c>
      <c r="C17" s="6">
        <v>3286</v>
      </c>
      <c r="D17" s="42">
        <v>3169</v>
      </c>
      <c r="E17" s="6">
        <f t="shared" si="0"/>
        <v>117</v>
      </c>
      <c r="F17" s="42">
        <v>3300</v>
      </c>
      <c r="G17" s="6">
        <f t="shared" si="1"/>
        <v>-14</v>
      </c>
    </row>
    <row r="18" spans="2:7" x14ac:dyDescent="0.2">
      <c r="B18" s="5" t="s">
        <v>15</v>
      </c>
      <c r="C18" s="6">
        <v>2583</v>
      </c>
      <c r="D18" s="42">
        <v>2570</v>
      </c>
      <c r="E18" s="6">
        <f t="shared" si="0"/>
        <v>13</v>
      </c>
      <c r="F18" s="42">
        <v>2594</v>
      </c>
      <c r="G18" s="6">
        <f t="shared" si="1"/>
        <v>-11</v>
      </c>
    </row>
    <row r="19" spans="2:7" x14ac:dyDescent="0.2">
      <c r="B19" s="5" t="s">
        <v>16</v>
      </c>
      <c r="C19" s="6">
        <v>4455</v>
      </c>
      <c r="D19" s="42">
        <v>4458</v>
      </c>
      <c r="E19" s="6">
        <f t="shared" si="0"/>
        <v>-3</v>
      </c>
      <c r="F19" s="42">
        <v>4625</v>
      </c>
      <c r="G19" s="6">
        <f t="shared" si="1"/>
        <v>-170</v>
      </c>
    </row>
    <row r="20" spans="2:7" x14ac:dyDescent="0.2">
      <c r="B20" s="5" t="s">
        <v>17</v>
      </c>
      <c r="C20" s="6">
        <v>2714</v>
      </c>
      <c r="D20" s="42">
        <v>2721</v>
      </c>
      <c r="E20" s="6">
        <f t="shared" si="0"/>
        <v>-7</v>
      </c>
      <c r="F20" s="42">
        <v>2664</v>
      </c>
      <c r="G20" s="6">
        <f t="shared" si="1"/>
        <v>50</v>
      </c>
    </row>
    <row r="21" spans="2:7" x14ac:dyDescent="0.2">
      <c r="B21" s="5" t="s">
        <v>18</v>
      </c>
      <c r="C21" s="6">
        <v>1980</v>
      </c>
      <c r="D21" s="42">
        <v>1960</v>
      </c>
      <c r="E21" s="6">
        <f t="shared" si="0"/>
        <v>20</v>
      </c>
      <c r="F21" s="42">
        <v>1923</v>
      </c>
      <c r="G21" s="6">
        <f t="shared" si="1"/>
        <v>57</v>
      </c>
    </row>
    <row r="22" spans="2:7" x14ac:dyDescent="0.2">
      <c r="B22" s="5" t="s">
        <v>19</v>
      </c>
      <c r="C22" s="6">
        <v>3044</v>
      </c>
      <c r="D22" s="42">
        <v>3042</v>
      </c>
      <c r="E22" s="6">
        <f t="shared" si="0"/>
        <v>2</v>
      </c>
      <c r="F22" s="42">
        <v>3030</v>
      </c>
      <c r="G22" s="6">
        <f t="shared" si="1"/>
        <v>14</v>
      </c>
    </row>
    <row r="23" spans="2:7" x14ac:dyDescent="0.2">
      <c r="B23" s="5" t="s">
        <v>20</v>
      </c>
      <c r="C23" s="6">
        <v>1254</v>
      </c>
      <c r="D23" s="42">
        <v>1252</v>
      </c>
      <c r="E23" s="6">
        <f t="shared" si="0"/>
        <v>2</v>
      </c>
      <c r="F23" s="42">
        <v>1268</v>
      </c>
      <c r="G23" s="6">
        <f t="shared" si="1"/>
        <v>-14</v>
      </c>
    </row>
    <row r="24" spans="2:7" x14ac:dyDescent="0.2">
      <c r="B24" s="5" t="s">
        <v>21</v>
      </c>
      <c r="C24" s="6">
        <v>805</v>
      </c>
      <c r="D24" s="42">
        <v>784</v>
      </c>
      <c r="E24" s="6">
        <f t="shared" si="0"/>
        <v>21</v>
      </c>
      <c r="F24" s="42">
        <v>781</v>
      </c>
      <c r="G24" s="6">
        <f t="shared" si="1"/>
        <v>24</v>
      </c>
    </row>
    <row r="25" spans="2:7" x14ac:dyDescent="0.2">
      <c r="B25" s="5" t="s">
        <v>22</v>
      </c>
      <c r="C25" s="6">
        <v>2282</v>
      </c>
      <c r="D25" s="42">
        <v>2249</v>
      </c>
      <c r="E25" s="6">
        <f t="shared" si="0"/>
        <v>33</v>
      </c>
      <c r="F25" s="42">
        <v>2343</v>
      </c>
      <c r="G25" s="6">
        <f t="shared" si="1"/>
        <v>-61</v>
      </c>
    </row>
    <row r="26" spans="2:7" x14ac:dyDescent="0.2">
      <c r="B26" s="5" t="s">
        <v>23</v>
      </c>
      <c r="C26" s="6">
        <v>5083</v>
      </c>
      <c r="D26" s="42">
        <v>5032</v>
      </c>
      <c r="E26" s="6">
        <f t="shared" si="0"/>
        <v>51</v>
      </c>
      <c r="F26" s="42">
        <v>5257</v>
      </c>
      <c r="G26" s="6">
        <f t="shared" si="1"/>
        <v>-174</v>
      </c>
    </row>
    <row r="27" spans="2:7" x14ac:dyDescent="0.2">
      <c r="B27" s="5" t="s">
        <v>24</v>
      </c>
      <c r="C27" s="6">
        <v>1087</v>
      </c>
      <c r="D27" s="42">
        <v>1058</v>
      </c>
      <c r="E27" s="6">
        <f t="shared" si="0"/>
        <v>29</v>
      </c>
      <c r="F27" s="42">
        <v>1078</v>
      </c>
      <c r="G27" s="6">
        <f t="shared" si="1"/>
        <v>9</v>
      </c>
    </row>
    <row r="28" spans="2:7" ht="15" x14ac:dyDescent="0.25">
      <c r="B28" s="39" t="s">
        <v>25</v>
      </c>
      <c r="C28" s="40">
        <f>SUM(C3:C27)</f>
        <v>65380</v>
      </c>
      <c r="D28" s="41">
        <f>SUM(D3:D27)</f>
        <v>64586</v>
      </c>
      <c r="E28" s="40">
        <f>SUM(C28)-D28</f>
        <v>794</v>
      </c>
      <c r="F28" s="41">
        <f>SUM(F3:F27)</f>
        <v>65861</v>
      </c>
      <c r="G28" s="40">
        <f>SUM(C28)-F28</f>
        <v>-481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31-08-'24 r.</v>
      </c>
      <c r="E3" s="36" t="str">
        <f>T('5do 30 r.ż.'!D2)</f>
        <v>liczba bezrobotnych do 30 r. ż. stan na 31-07-'24 r.</v>
      </c>
      <c r="F3" s="36" t="str">
        <f>T('5do 30 r.ż.'!E2)</f>
        <v>wzrost/spadek do poprzedniego  miesiąca</v>
      </c>
      <c r="G3" s="36" t="str">
        <f>T('5do 30 r.ż.'!F2)</f>
        <v>liczba bezrobotnych do 30 r. ż. stan na 31-08-'23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170</v>
      </c>
      <c r="E4" s="42">
        <f>INDEX('5do 30 r.ż.'!B3:G28,MATCH(1,B4:B29,0),3)</f>
        <v>160</v>
      </c>
      <c r="F4" s="6">
        <f>INDEX('5do 30 r.ż.'!B3:G28,MATCH(1,B4:B29,0),4)</f>
        <v>10</v>
      </c>
      <c r="G4" s="42">
        <f>INDEX('5do 30 r.ż.'!B3:G28,MATCH(1,B4:B29,0),5)</f>
        <v>146</v>
      </c>
      <c r="H4" s="6">
        <f>INDEX('5do 30 r.ż.'!B3:G28,MATCH(1,B4:B29,0),6)</f>
        <v>24</v>
      </c>
    </row>
    <row r="5" spans="2:8" x14ac:dyDescent="0.2">
      <c r="B5" s="6">
        <f>RANK('5do 30 r.ż.'!C4,'5do 30 r.ż.'!$C$3:'5do 30 r.ż.'!$C$28,1)+COUNTIF('5do 30 r.ż.'!$C$3:'5do 30 r.ż.'!C4,'5do 30 r.ż.'!C4)-1</f>
        <v>20</v>
      </c>
      <c r="C5" s="5" t="str">
        <f>INDEX('5do 30 r.ż.'!B3:G28,MATCH(2,B4:B29,0),1)</f>
        <v>Tarnobrzeg</v>
      </c>
      <c r="D5" s="6">
        <f>INDEX('5do 30 r.ż.'!B3:G28,MATCH(2,B4:B29,0),2)</f>
        <v>214</v>
      </c>
      <c r="E5" s="42">
        <f>INDEX('5do 30 r.ż.'!B3:G28,MATCH(2,B4:B29,0),3)</f>
        <v>199</v>
      </c>
      <c r="F5" s="6">
        <f>INDEX('5do 30 r.ż.'!B3:G28,MATCH(2,B4:B29,0),4)</f>
        <v>15</v>
      </c>
      <c r="G5" s="42">
        <f>INDEX('5do 30 r.ż.'!B3:G28,MATCH(2,B4:B29,0),5)</f>
        <v>224</v>
      </c>
      <c r="H5" s="6">
        <f>INDEX('5do 30 r.ż.'!B3:G28,MATCH(2,B4:B29,0),6)</f>
        <v>-10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260</v>
      </c>
      <c r="E6" s="42">
        <f>INDEX('5do 30 r.ż.'!B3:G28,MATCH(3,B4:B29,0),3)</f>
        <v>254</v>
      </c>
      <c r="F6" s="6">
        <f>INDEX('5do 30 r.ż.'!B3:G28,MATCH(3,B4:B29,0),4)</f>
        <v>6</v>
      </c>
      <c r="G6" s="42">
        <f>INDEX('5do 30 r.ż.'!B3:G28,MATCH(3,B4:B29,0),5)</f>
        <v>237</v>
      </c>
      <c r="H6" s="6">
        <f>INDEX('5do 30 r.ż.'!B3:G28,MATCH(3,B4:B29,0),6)</f>
        <v>23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326</v>
      </c>
      <c r="E7" s="42">
        <f>INDEX('5do 30 r.ż.'!B3:G28,MATCH(4,B4:B29,0),3)</f>
        <v>322</v>
      </c>
      <c r="F7" s="6">
        <f>INDEX('5do 30 r.ż.'!B3:G28,MATCH(4,B4:B29,0),4)</f>
        <v>4</v>
      </c>
      <c r="G7" s="42">
        <f>INDEX('5do 30 r.ż.'!B3:G28,MATCH(4,B4:B29,0),5)</f>
        <v>316</v>
      </c>
      <c r="H7" s="6">
        <f>INDEX('5do 30 r.ż.'!B3:G28,MATCH(4,B4:B29,0),6)</f>
        <v>10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leski</v>
      </c>
      <c r="D8" s="6">
        <f>INDEX('5do 30 r.ż.'!B3:G28,MATCH(5,B4:B29,0),2)</f>
        <v>370</v>
      </c>
      <c r="E8" s="42">
        <f>INDEX('5do 30 r.ż.'!B3:G28,MATCH(5,B4:B29,0),3)</f>
        <v>360</v>
      </c>
      <c r="F8" s="6">
        <f>INDEX('5do 30 r.ż.'!B3:G28,MATCH(5,B4:B29,0),4)</f>
        <v>10</v>
      </c>
      <c r="G8" s="42">
        <f>INDEX('5do 30 r.ż.'!B3:G28,MATCH(5,B4:B29,0),5)</f>
        <v>388</v>
      </c>
      <c r="H8" s="6">
        <f>INDEX('5do 30 r.ż.'!B3:G28,MATCH(5,B4:B29,0),6)</f>
        <v>-18</v>
      </c>
    </row>
    <row r="9" spans="2:8" x14ac:dyDescent="0.2">
      <c r="B9" s="6">
        <f>RANK('5do 30 r.ż.'!C8,'5do 30 r.ż.'!$C$3:'5do 30 r.ż.'!$C$28,1)+COUNTIF('5do 30 r.ż.'!$C$3:'5do 30 r.ż.'!C8,'5do 30 r.ż.'!C8)-1</f>
        <v>6</v>
      </c>
      <c r="C9" s="5" t="str">
        <f>INDEX('5do 30 r.ż.'!B3:G28,MATCH(6,B4:B29,0),1)</f>
        <v>kolbuszowski</v>
      </c>
      <c r="D9" s="6">
        <f>INDEX('5do 30 r.ż.'!B3:G28,MATCH(6,B4:B29,0),2)</f>
        <v>433</v>
      </c>
      <c r="E9" s="42">
        <f>INDEX('5do 30 r.ż.'!B3:G28,MATCH(6,B4:B29,0),3)</f>
        <v>409</v>
      </c>
      <c r="F9" s="6">
        <f>INDEX('5do 30 r.ż.'!B3:G28,MATCH(6,B4:B29,0),4)</f>
        <v>24</v>
      </c>
      <c r="G9" s="42">
        <f>INDEX('5do 30 r.ż.'!B3:G28,MATCH(6,B4:B29,0),5)</f>
        <v>437</v>
      </c>
      <c r="H9" s="6">
        <f>INDEX('5do 30 r.ż.'!B3:G28,MATCH(6,B4:B29,0),6)</f>
        <v>-4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lubaczowski</v>
      </c>
      <c r="D10" s="6">
        <f>INDEX('5do 30 r.ż.'!B3:G28,MATCH(7,B4:B29,0),2)</f>
        <v>435</v>
      </c>
      <c r="E10" s="42">
        <f>INDEX('5do 30 r.ż.'!B3:G28,MATCH(7,B4:B29,0),3)</f>
        <v>407</v>
      </c>
      <c r="F10" s="6">
        <f>INDEX('5do 30 r.ż.'!B3:G28,MATCH(7,B4:B29,0),4)</f>
        <v>28</v>
      </c>
      <c r="G10" s="42">
        <f>INDEX('5do 30 r.ż.'!B3:G28,MATCH(7,B4:B29,0),5)</f>
        <v>477</v>
      </c>
      <c r="H10" s="6">
        <f>INDEX('5do 30 r.ż.'!B3:G28,MATCH(7,B4:B29,0),6)</f>
        <v>-42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Przemyśl</v>
      </c>
      <c r="D11" s="6">
        <f>INDEX('5do 30 r.ż.'!B3:G28,MATCH(8,B4:B29,0),2)</f>
        <v>440</v>
      </c>
      <c r="E11" s="42">
        <f>INDEX('5do 30 r.ż.'!B3:G28,MATCH(8,B4:B29,0),3)</f>
        <v>404</v>
      </c>
      <c r="F11" s="6">
        <f>INDEX('5do 30 r.ż.'!B3:G28,MATCH(8,B4:B29,0),4)</f>
        <v>36</v>
      </c>
      <c r="G11" s="42">
        <f>INDEX('5do 30 r.ż.'!B3:G28,MATCH(8,B4:B29,0),5)</f>
        <v>430</v>
      </c>
      <c r="H11" s="6">
        <f>INDEX('5do 30 r.ż.'!B3:G28,MATCH(8,B4:B29,0),6)</f>
        <v>10</v>
      </c>
    </row>
    <row r="12" spans="2:8" x14ac:dyDescent="0.2">
      <c r="B12" s="6">
        <f>RANK('5do 30 r.ż.'!C11,'5do 30 r.ż.'!$C$3:'5do 30 r.ż.'!$C$28,1)+COUNTIF('5do 30 r.ż.'!$C$3:'5do 30 r.ż.'!C11,'5do 30 r.ż.'!C11)-1</f>
        <v>16</v>
      </c>
      <c r="C12" s="5" t="str">
        <f>INDEX('5do 30 r.ż.'!B3:G28,MATCH(9,B4:B29,0),1)</f>
        <v>stalowowolski</v>
      </c>
      <c r="D12" s="6">
        <f>INDEX('5do 30 r.ż.'!B3:G28,MATCH(9,B4:B29,0),2)</f>
        <v>529</v>
      </c>
      <c r="E12" s="42">
        <f>INDEX('5do 30 r.ż.'!B3:G28,MATCH(9,B4:B29,0),3)</f>
        <v>521</v>
      </c>
      <c r="F12" s="6">
        <f>INDEX('5do 30 r.ż.'!B3:G28,MATCH(9,B4:B29,0),4)</f>
        <v>8</v>
      </c>
      <c r="G12" s="42">
        <f>INDEX('5do 30 r.ż.'!B3:G28,MATCH(9,B4:B29,0),5)</f>
        <v>496</v>
      </c>
      <c r="H12" s="6">
        <f>INDEX('5do 30 r.ż.'!B3:G28,MATCH(9,B4:B29,0),6)</f>
        <v>33</v>
      </c>
    </row>
    <row r="13" spans="2:8" x14ac:dyDescent="0.2">
      <c r="B13" s="6">
        <f>RANK('5do 30 r.ż.'!C12,'5do 30 r.ż.'!$C$3:'5do 30 r.ż.'!$C$28,1)+COUNTIF('5do 30 r.ż.'!$C$3:'5do 30 r.ż.'!C12,'5do 30 r.ż.'!C12)-1</f>
        <v>7</v>
      </c>
      <c r="C13" s="5" t="str">
        <f>INDEX('5do 30 r.ż.'!B3:G28,MATCH(10,B4:B29,0),1)</f>
        <v>krośnieński</v>
      </c>
      <c r="D13" s="6">
        <f>INDEX('5do 30 r.ż.'!B3:G28,MATCH(10,B4:B29,0),2)</f>
        <v>564</v>
      </c>
      <c r="E13" s="42">
        <f>INDEX('5do 30 r.ż.'!B3:G28,MATCH(10,B4:B29,0),3)</f>
        <v>533</v>
      </c>
      <c r="F13" s="6">
        <f>INDEX('5do 30 r.ż.'!B3:G28,MATCH(10,B4:B29,0),4)</f>
        <v>31</v>
      </c>
      <c r="G13" s="42">
        <f>INDEX('5do 30 r.ż.'!B3:G28,MATCH(10,B4:B29,0),5)</f>
        <v>554</v>
      </c>
      <c r="H13" s="6">
        <f>INDEX('5do 30 r.ż.'!B3:G28,MATCH(10,B4:B29,0),6)</f>
        <v>10</v>
      </c>
    </row>
    <row r="14" spans="2:8" x14ac:dyDescent="0.2">
      <c r="B14" s="6">
        <f>RANK('5do 30 r.ż.'!C13,'5do 30 r.ż.'!$C$3:'5do 30 r.ż.'!$C$28,1)+COUNTIF('5do 30 r.ż.'!$C$3:'5do 30 r.ż.'!C13,'5do 30 r.ż.'!C13)-1</f>
        <v>14</v>
      </c>
      <c r="C14" s="5" t="str">
        <f>INDEX('5do 30 r.ż.'!B3:G28,MATCH(11,B4:B29,0),1)</f>
        <v>dębicki</v>
      </c>
      <c r="D14" s="6">
        <f>INDEX('5do 30 r.ż.'!B3:G28,MATCH(11,B4:B29,0),2)</f>
        <v>704</v>
      </c>
      <c r="E14" s="42">
        <f>INDEX('5do 30 r.ż.'!B3:G28,MATCH(11,B4:B29,0),3)</f>
        <v>659</v>
      </c>
      <c r="F14" s="6">
        <f>INDEX('5do 30 r.ż.'!B3:G28,MATCH(11,B4:B29,0),4)</f>
        <v>45</v>
      </c>
      <c r="G14" s="42">
        <f>INDEX('5do 30 r.ż.'!B3:G28,MATCH(11,B4:B29,0),5)</f>
        <v>696</v>
      </c>
      <c r="H14" s="6">
        <f>INDEX('5do 30 r.ż.'!B3:G28,MATCH(11,B4:B29,0),6)</f>
        <v>8</v>
      </c>
    </row>
    <row r="15" spans="2:8" x14ac:dyDescent="0.2">
      <c r="B15" s="6">
        <f>RANK('5do 30 r.ż.'!C14,'5do 30 r.ż.'!$C$3:'5do 30 r.ż.'!$C$28,1)+COUNTIF('5do 30 r.ż.'!$C$3:'5do 30 r.ż.'!C14,'5do 30 r.ż.'!C14)-1</f>
        <v>19</v>
      </c>
      <c r="C15" s="5" t="str">
        <f>INDEX('5do 30 r.ż.'!B3:G28,MATCH(12,B4:B29,0),1)</f>
        <v>niżański</v>
      </c>
      <c r="D15" s="6">
        <f>INDEX('5do 30 r.ż.'!B3:G28,MATCH(12,B4:B29,0),2)</f>
        <v>735</v>
      </c>
      <c r="E15" s="42">
        <f>INDEX('5do 30 r.ż.'!B3:G28,MATCH(12,B4:B29,0),3)</f>
        <v>734</v>
      </c>
      <c r="F15" s="6">
        <f>INDEX('5do 30 r.ż.'!B3:G28,MATCH(12,B4:B29,0),4)</f>
        <v>1</v>
      </c>
      <c r="G15" s="42">
        <f>INDEX('5do 30 r.ż.'!B3:G28,MATCH(12,B4:B29,0),5)</f>
        <v>798</v>
      </c>
      <c r="H15" s="6">
        <f>INDEX('5do 30 r.ż.'!B3:G28,MATCH(12,B4:B29,0),6)</f>
        <v>-63</v>
      </c>
    </row>
    <row r="16" spans="2:8" x14ac:dyDescent="0.2">
      <c r="B16" s="6">
        <f>RANK('5do 30 r.ż.'!C15,'5do 30 r.ż.'!$C$3:'5do 30 r.ż.'!$C$28,1)+COUNTIF('5do 30 r.ż.'!$C$3:'5do 30 r.ż.'!C15,'5do 30 r.ż.'!C15)-1</f>
        <v>12</v>
      </c>
      <c r="C16" s="5" t="str">
        <f>INDEX('5do 30 r.ż.'!B3:G28,MATCH(13,B4:B29,0),1)</f>
        <v>sanocki</v>
      </c>
      <c r="D16" s="6">
        <f>INDEX('5do 30 r.ż.'!B3:G28,MATCH(13,B4:B29,0),2)</f>
        <v>739</v>
      </c>
      <c r="E16" s="42">
        <f>INDEX('5do 30 r.ż.'!B3:G28,MATCH(13,B4:B29,0),3)</f>
        <v>734</v>
      </c>
      <c r="F16" s="6">
        <f>INDEX('5do 30 r.ż.'!B3:G28,MATCH(13,B4:B29,0),4)</f>
        <v>5</v>
      </c>
      <c r="G16" s="42">
        <f>INDEX('5do 30 r.ż.'!B3:G28,MATCH(13,B4:B29,0),5)</f>
        <v>689</v>
      </c>
      <c r="H16" s="6">
        <f>INDEX('5do 30 r.ż.'!B3:G28,MATCH(13,B4:B29,0),6)</f>
        <v>50</v>
      </c>
    </row>
    <row r="17" spans="2:8" x14ac:dyDescent="0.2">
      <c r="B17" s="6">
        <f>RANK('5do 30 r.ż.'!C16,'5do 30 r.ż.'!$C$3:'5do 30 r.ż.'!$C$28,1)+COUNTIF('5do 30 r.ż.'!$C$3:'5do 30 r.ż.'!C16,'5do 30 r.ż.'!C16)-1</f>
        <v>15</v>
      </c>
      <c r="C17" s="5" t="str">
        <f>INDEX('5do 30 r.ż.'!B3:G28,MATCH(14,B4:B29,0),1)</f>
        <v>łańcucki</v>
      </c>
      <c r="D17" s="6">
        <f>INDEX('5do 30 r.ż.'!B3:G28,MATCH(14,B4:B29,0),2)</f>
        <v>760</v>
      </c>
      <c r="E17" s="42">
        <f>INDEX('5do 30 r.ż.'!B3:G28,MATCH(14,B4:B29,0),3)</f>
        <v>708</v>
      </c>
      <c r="F17" s="6">
        <f>INDEX('5do 30 r.ż.'!B3:G28,MATCH(14,B4:B29,0),4)</f>
        <v>52</v>
      </c>
      <c r="G17" s="42">
        <f>INDEX('5do 30 r.ż.'!B3:G28,MATCH(14,B4:B29,0),5)</f>
        <v>707</v>
      </c>
      <c r="H17" s="6">
        <f>INDEX('5do 30 r.ż.'!B3:G28,MATCH(14,B4:B29,0),6)</f>
        <v>53</v>
      </c>
    </row>
    <row r="18" spans="2:8" x14ac:dyDescent="0.2">
      <c r="B18" s="6">
        <f>RANK('5do 30 r.ż.'!C17,'5do 30 r.ż.'!$C$3:'5do 30 r.ż.'!$C$28,1)+COUNTIF('5do 30 r.ż.'!$C$3:'5do 30 r.ż.'!C17,'5do 30 r.ż.'!C17)-1</f>
        <v>21</v>
      </c>
      <c r="C18" s="5" t="str">
        <f>INDEX('5do 30 r.ż.'!B3:G28,MATCH(15,B4:B29,0),1)</f>
        <v>przemyski</v>
      </c>
      <c r="D18" s="6">
        <f>INDEX('5do 30 r.ż.'!B3:G28,MATCH(15,B4:B29,0),2)</f>
        <v>768</v>
      </c>
      <c r="E18" s="42">
        <f>INDEX('5do 30 r.ż.'!B3:G28,MATCH(15,B4:B29,0),3)</f>
        <v>766</v>
      </c>
      <c r="F18" s="6">
        <f>INDEX('5do 30 r.ż.'!B3:G28,MATCH(15,B4:B29,0),4)</f>
        <v>2</v>
      </c>
      <c r="G18" s="42">
        <f>INDEX('5do 30 r.ż.'!B3:G28,MATCH(15,B4:B29,0),5)</f>
        <v>713</v>
      </c>
      <c r="H18" s="6">
        <f>INDEX('5do 30 r.ż.'!B3:G28,MATCH(15,B4:B29,0),6)</f>
        <v>55</v>
      </c>
    </row>
    <row r="19" spans="2:8" x14ac:dyDescent="0.2">
      <c r="B19" s="6">
        <f>RANK('5do 30 r.ż.'!C18,'5do 30 r.ż.'!$C$3:'5do 30 r.ż.'!$C$28,1)+COUNTIF('5do 30 r.ż.'!$C$3:'5do 30 r.ż.'!C18,'5do 30 r.ż.'!C18)-1</f>
        <v>17</v>
      </c>
      <c r="C19" s="5" t="str">
        <f>INDEX('5do 30 r.ż.'!B3:G28,MATCH(16,B4:B29,0),1)</f>
        <v>leżajski</v>
      </c>
      <c r="D19" s="6">
        <f>INDEX('5do 30 r.ż.'!B3:G28,MATCH(16,B4:B29,0),2)</f>
        <v>774</v>
      </c>
      <c r="E19" s="42">
        <f>INDEX('5do 30 r.ż.'!B3:G28,MATCH(16,B4:B29,0),3)</f>
        <v>747</v>
      </c>
      <c r="F19" s="6">
        <f>INDEX('5do 30 r.ż.'!B3:G28,MATCH(16,B4:B29,0),4)</f>
        <v>27</v>
      </c>
      <c r="G19" s="42">
        <f>INDEX('5do 30 r.ż.'!B3:G28,MATCH(16,B4:B29,0),5)</f>
        <v>809</v>
      </c>
      <c r="H19" s="6">
        <f>INDEX('5do 30 r.ż.'!B3:G28,MATCH(16,B4:B29,0),6)</f>
        <v>-35</v>
      </c>
    </row>
    <row r="20" spans="2:8" x14ac:dyDescent="0.2">
      <c r="B20" s="6">
        <f>RANK('5do 30 r.ż.'!C19,'5do 30 r.ż.'!$C$3:'5do 30 r.ż.'!$C$28,1)+COUNTIF('5do 30 r.ż.'!$C$3:'5do 30 r.ż.'!C19,'5do 30 r.ż.'!C19)-1</f>
        <v>25</v>
      </c>
      <c r="C20" s="5" t="str">
        <f>INDEX('5do 30 r.ż.'!B3:G28,MATCH(17,B4:B29,0),1)</f>
        <v>ropczycko-sędziszowski</v>
      </c>
      <c r="D20" s="6">
        <f>INDEX('5do 30 r.ż.'!B3:G28,MATCH(17,B4:B29,0),2)</f>
        <v>806</v>
      </c>
      <c r="E20" s="42">
        <f>INDEX('5do 30 r.ż.'!B3:G28,MATCH(17,B4:B29,0),3)</f>
        <v>769</v>
      </c>
      <c r="F20" s="6">
        <f>INDEX('5do 30 r.ż.'!B3:G28,MATCH(17,B4:B29,0),4)</f>
        <v>37</v>
      </c>
      <c r="G20" s="42">
        <f>INDEX('5do 30 r.ż.'!B3:G28,MATCH(17,B4:B29,0),5)</f>
        <v>757</v>
      </c>
      <c r="H20" s="6">
        <f>INDEX('5do 30 r.ż.'!B3:G28,MATCH(17,B4:B29,0),6)</f>
        <v>49</v>
      </c>
    </row>
    <row r="21" spans="2:8" x14ac:dyDescent="0.2">
      <c r="B21" s="6">
        <f>RANK('5do 30 r.ż.'!C20,'5do 30 r.ż.'!$C$3:'5do 30 r.ż.'!$C$28,1)+COUNTIF('5do 30 r.ż.'!$C$3:'5do 30 r.ż.'!C20,'5do 30 r.ż.'!C20)-1</f>
        <v>13</v>
      </c>
      <c r="C21" s="5" t="str">
        <f>INDEX('5do 30 r.ż.'!B3:G28,MATCH(18,B4:B29,0),1)</f>
        <v>strzyżowski</v>
      </c>
      <c r="D21" s="6">
        <f>INDEX('5do 30 r.ż.'!B3:G28,MATCH(18,B4:B29,0),2)</f>
        <v>824</v>
      </c>
      <c r="E21" s="42">
        <f>INDEX('5do 30 r.ż.'!B3:G28,MATCH(18,B4:B29,0),3)</f>
        <v>827</v>
      </c>
      <c r="F21" s="6">
        <f>INDEX('5do 30 r.ż.'!B3:G28,MATCH(18,B4:B29,0),4)</f>
        <v>-3</v>
      </c>
      <c r="G21" s="42">
        <f>INDEX('5do 30 r.ż.'!B3:G28,MATCH(18,B4:B29,0),5)</f>
        <v>802</v>
      </c>
      <c r="H21" s="6">
        <f>INDEX('5do 30 r.ż.'!B3:G28,MATCH(18,B4:B29,0),6)</f>
        <v>22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mielecki</v>
      </c>
      <c r="D22" s="6">
        <f>INDEX('5do 30 r.ż.'!B3:G28,MATCH(19,B4:B29,0),2)</f>
        <v>840</v>
      </c>
      <c r="E22" s="42">
        <f>INDEX('5do 30 r.ż.'!B3:G28,MATCH(19,B4:B29,0),3)</f>
        <v>769</v>
      </c>
      <c r="F22" s="6">
        <f>INDEX('5do 30 r.ż.'!B3:G28,MATCH(19,B4:B29,0),4)</f>
        <v>71</v>
      </c>
      <c r="G22" s="42">
        <f>INDEX('5do 30 r.ż.'!B3:G28,MATCH(19,B4:B29,0),5)</f>
        <v>776</v>
      </c>
      <c r="H22" s="6">
        <f>INDEX('5do 30 r.ż.'!B3:G28,MATCH(19,B4:B29,0),6)</f>
        <v>64</v>
      </c>
    </row>
    <row r="23" spans="2:8" x14ac:dyDescent="0.2">
      <c r="B23" s="6">
        <f>RANK('5do 30 r.ż.'!C22,'5do 30 r.ż.'!$C$3:'5do 30 r.ż.'!$C$28,1)+COUNTIF('5do 30 r.ż.'!$C$3:'5do 30 r.ż.'!C22,'5do 30 r.ż.'!C22)-1</f>
        <v>18</v>
      </c>
      <c r="C23" s="5" t="str">
        <f>INDEX('5do 30 r.ż.'!B3:G28,MATCH(20,B4:B29,0),1)</f>
        <v>brzozowski</v>
      </c>
      <c r="D23" s="6">
        <f>INDEX('5do 30 r.ż.'!B3:G28,MATCH(20,B4:B29,0),2)</f>
        <v>925</v>
      </c>
      <c r="E23" s="42">
        <f>INDEX('5do 30 r.ż.'!B3:G28,MATCH(20,B4:B29,0),3)</f>
        <v>888</v>
      </c>
      <c r="F23" s="6">
        <f>INDEX('5do 30 r.ż.'!B3:G28,MATCH(20,B4:B29,0),4)</f>
        <v>37</v>
      </c>
      <c r="G23" s="42">
        <f>INDEX('5do 30 r.ż.'!B3:G28,MATCH(20,B4:B29,0),5)</f>
        <v>949</v>
      </c>
      <c r="H23" s="6">
        <f>INDEX('5do 30 r.ż.'!B3:G28,MATCH(20,B4:B29,0),6)</f>
        <v>-24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przeworski</v>
      </c>
      <c r="D24" s="6">
        <f>INDEX('5do 30 r.ż.'!B3:G28,MATCH(21,B4:B29,0),2)</f>
        <v>928</v>
      </c>
      <c r="E24" s="42">
        <f>INDEX('5do 30 r.ż.'!B3:G28,MATCH(21,B4:B29,0),3)</f>
        <v>855</v>
      </c>
      <c r="F24" s="6">
        <f>INDEX('5do 30 r.ż.'!B3:G28,MATCH(21,B4:B29,0),4)</f>
        <v>73</v>
      </c>
      <c r="G24" s="42">
        <f>INDEX('5do 30 r.ż.'!B3:G28,MATCH(21,B4:B29,0),5)</f>
        <v>902</v>
      </c>
      <c r="H24" s="6">
        <f>INDEX('5do 30 r.ż.'!B3:G28,MATCH(21,B4:B29,0),6)</f>
        <v>26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Rzeszów</v>
      </c>
      <c r="D25" s="6">
        <f>INDEX('5do 30 r.ż.'!B3:G28,MATCH(22,B4:B29,0),2)</f>
        <v>983</v>
      </c>
      <c r="E25" s="42">
        <f>INDEX('5do 30 r.ż.'!B3:G28,MATCH(22,B4:B29,0),3)</f>
        <v>921</v>
      </c>
      <c r="F25" s="6">
        <f>INDEX('5do 30 r.ż.'!B3:G28,MATCH(22,B4:B29,0),4)</f>
        <v>62</v>
      </c>
      <c r="G25" s="42">
        <f>INDEX('5do 30 r.ż.'!B3:G28,MATCH(22,B4:B29,0),5)</f>
        <v>963</v>
      </c>
      <c r="H25" s="6">
        <f>INDEX('5do 30 r.ż.'!B3:G28,MATCH(22,B4:B29,0),6)</f>
        <v>20</v>
      </c>
    </row>
    <row r="26" spans="2:8" x14ac:dyDescent="0.2">
      <c r="B26" s="6">
        <f>RANK('5do 30 r.ż.'!C25,'5do 30 r.ż.'!$C$3:'5do 30 r.ż.'!$C$28,1)+COUNTIF('5do 30 r.ż.'!$C$3:'5do 30 r.ż.'!C25,'5do 30 r.ż.'!C25)-1</f>
        <v>8</v>
      </c>
      <c r="C26" s="5" t="str">
        <f>INDEX('5do 30 r.ż.'!B3:G28,MATCH(23,B4:B29,0),1)</f>
        <v>jarosławski</v>
      </c>
      <c r="D26" s="6">
        <f>INDEX('5do 30 r.ż.'!B3:G28,MATCH(23,B4:B29,0),2)</f>
        <v>1099</v>
      </c>
      <c r="E26" s="42">
        <f>INDEX('5do 30 r.ż.'!B3:G28,MATCH(23,B4:B29,0),3)</f>
        <v>1079</v>
      </c>
      <c r="F26" s="6">
        <f>INDEX('5do 30 r.ż.'!B3:G28,MATCH(23,B4:B29,0),4)</f>
        <v>20</v>
      </c>
      <c r="G26" s="42">
        <f>INDEX('5do 30 r.ż.'!B3:G28,MATCH(23,B4:B29,0),5)</f>
        <v>1063</v>
      </c>
      <c r="H26" s="6">
        <f>INDEX('5do 30 r.ż.'!B3:G28,MATCH(23,B4:B29,0),6)</f>
        <v>36</v>
      </c>
    </row>
    <row r="27" spans="2:8" x14ac:dyDescent="0.2">
      <c r="B27" s="6">
        <f>RANK('5do 30 r.ż.'!C26,'5do 30 r.ż.'!$C$3:'5do 30 r.ż.'!$C$28,1)+COUNTIF('5do 30 r.ż.'!$C$3:'5do 30 r.ż.'!C26,'5do 30 r.ż.'!C26)-1</f>
        <v>22</v>
      </c>
      <c r="C27" s="5" t="str">
        <f>INDEX('5do 30 r.ż.'!B3:G28,MATCH(24,B4:B29,0),1)</f>
        <v>jasielski</v>
      </c>
      <c r="D27" s="6">
        <f>INDEX('5do 30 r.ż.'!B3:G28,MATCH(24,B4:B29,0),2)</f>
        <v>1185</v>
      </c>
      <c r="E27" s="42">
        <f>INDEX('5do 30 r.ż.'!B3:G28,MATCH(24,B4:B29,0),3)</f>
        <v>1146</v>
      </c>
      <c r="F27" s="6">
        <f>INDEX('5do 30 r.ż.'!B3:G28,MATCH(24,B4:B29,0),4)</f>
        <v>39</v>
      </c>
      <c r="G27" s="42">
        <f>INDEX('5do 30 r.ż.'!B3:G28,MATCH(24,B4:B29,0),5)</f>
        <v>1193</v>
      </c>
      <c r="H27" s="6">
        <f>INDEX('5do 30 r.ż.'!B3:G28,MATCH(24,B4:B29,0),6)</f>
        <v>-8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rzeszowski</v>
      </c>
      <c r="D28" s="6">
        <f>INDEX('5do 30 r.ż.'!B3:G28,MATCH(25,B4:B29,0),2)</f>
        <v>1190</v>
      </c>
      <c r="E28" s="42">
        <f>INDEX('5do 30 r.ż.'!B3:G28,MATCH(25,B4:B29,0),3)</f>
        <v>1170</v>
      </c>
      <c r="F28" s="6">
        <f>INDEX('5do 30 r.ż.'!B3:G28,MATCH(25,B4:B29,0),4)</f>
        <v>20</v>
      </c>
      <c r="G28" s="42">
        <f>INDEX('5do 30 r.ż.'!B3:G28,MATCH(25,B4:B29,0),5)</f>
        <v>1217</v>
      </c>
      <c r="H28" s="6">
        <f>INDEX('5do 30 r.ż.'!B3:G28,MATCH(25,B4:B29,0),6)</f>
        <v>-27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17001</v>
      </c>
      <c r="E29" s="44">
        <f>INDEX('5do 30 r.ż.'!B3:G28,MATCH(26,B4:B29,0),3)</f>
        <v>16341</v>
      </c>
      <c r="F29" s="40">
        <f>INDEX('5do 30 r.ż.'!B3:G28,MATCH(26,B4:B29,0),4)</f>
        <v>660</v>
      </c>
      <c r="G29" s="44">
        <f>INDEX('5do 30 r.ż.'!B3:G28,MATCH(26,B4:B29,0),5)</f>
        <v>16739</v>
      </c>
      <c r="H29" s="40">
        <f>INDEX('5do 30 r.ż.'!B3:G28,MATCH(26,B4:B29,0),6)</f>
        <v>262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91</v>
      </c>
      <c r="D2" s="38" t="s">
        <v>90</v>
      </c>
      <c r="E2" s="37" t="s">
        <v>28</v>
      </c>
      <c r="F2" s="38" t="s">
        <v>89</v>
      </c>
      <c r="G2" s="37" t="s">
        <v>26</v>
      </c>
    </row>
    <row r="3" spans="2:8" x14ac:dyDescent="0.2">
      <c r="B3" s="5" t="s">
        <v>0</v>
      </c>
      <c r="C3" s="28">
        <v>234</v>
      </c>
      <c r="D3" s="42">
        <v>227</v>
      </c>
      <c r="E3" s="28">
        <f t="shared" ref="E3:E27" si="0">SUM(C3)-D3</f>
        <v>7</v>
      </c>
      <c r="F3" s="42">
        <v>243</v>
      </c>
      <c r="G3" s="28">
        <f t="shared" ref="G3:G27" si="1">SUM(C3)-F3</f>
        <v>-9</v>
      </c>
      <c r="H3" s="7"/>
    </row>
    <row r="4" spans="2:8" x14ac:dyDescent="0.2">
      <c r="B4" s="5" t="s">
        <v>1</v>
      </c>
      <c r="C4" s="28">
        <v>846</v>
      </c>
      <c r="D4" s="42">
        <v>851</v>
      </c>
      <c r="E4" s="28">
        <f t="shared" si="0"/>
        <v>-5</v>
      </c>
      <c r="F4" s="42">
        <v>910</v>
      </c>
      <c r="G4" s="28">
        <f t="shared" si="1"/>
        <v>-64</v>
      </c>
      <c r="H4" s="7"/>
    </row>
    <row r="5" spans="2:8" x14ac:dyDescent="0.2">
      <c r="B5" s="5" t="s">
        <v>2</v>
      </c>
      <c r="C5" s="28">
        <v>519</v>
      </c>
      <c r="D5" s="42">
        <v>515</v>
      </c>
      <c r="E5" s="28">
        <f t="shared" si="0"/>
        <v>4</v>
      </c>
      <c r="F5" s="42">
        <v>542</v>
      </c>
      <c r="G5" s="28">
        <f t="shared" si="1"/>
        <v>-23</v>
      </c>
      <c r="H5" s="7"/>
    </row>
    <row r="6" spans="2:8" x14ac:dyDescent="0.2">
      <c r="B6" s="5" t="s">
        <v>3</v>
      </c>
      <c r="C6" s="28">
        <v>1057</v>
      </c>
      <c r="D6" s="42">
        <v>1062</v>
      </c>
      <c r="E6" s="28">
        <f t="shared" si="0"/>
        <v>-5</v>
      </c>
      <c r="F6" s="42">
        <v>1033</v>
      </c>
      <c r="G6" s="28">
        <f t="shared" si="1"/>
        <v>24</v>
      </c>
      <c r="H6" s="7"/>
    </row>
    <row r="7" spans="2:8" x14ac:dyDescent="0.2">
      <c r="B7" s="5" t="s">
        <v>4</v>
      </c>
      <c r="C7" s="28">
        <v>1059</v>
      </c>
      <c r="D7" s="42">
        <v>1054</v>
      </c>
      <c r="E7" s="28">
        <f t="shared" si="0"/>
        <v>5</v>
      </c>
      <c r="F7" s="42">
        <v>1119</v>
      </c>
      <c r="G7" s="28">
        <f t="shared" si="1"/>
        <v>-60</v>
      </c>
      <c r="H7" s="7"/>
    </row>
    <row r="8" spans="2:8" x14ac:dyDescent="0.2">
      <c r="B8" s="5" t="s">
        <v>5</v>
      </c>
      <c r="C8" s="28">
        <v>407</v>
      </c>
      <c r="D8" s="42">
        <v>404</v>
      </c>
      <c r="E8" s="28">
        <f t="shared" si="0"/>
        <v>3</v>
      </c>
      <c r="F8" s="42">
        <v>388</v>
      </c>
      <c r="G8" s="28">
        <f t="shared" si="1"/>
        <v>19</v>
      </c>
      <c r="H8" s="7"/>
    </row>
    <row r="9" spans="2:8" x14ac:dyDescent="0.2">
      <c r="B9" s="9" t="s">
        <v>6</v>
      </c>
      <c r="C9" s="28">
        <v>565</v>
      </c>
      <c r="D9" s="42">
        <v>579</v>
      </c>
      <c r="E9" s="28">
        <f t="shared" si="0"/>
        <v>-14</v>
      </c>
      <c r="F9" s="42">
        <v>555</v>
      </c>
      <c r="G9" s="28">
        <f t="shared" si="1"/>
        <v>10</v>
      </c>
      <c r="H9" s="7"/>
    </row>
    <row r="10" spans="2:8" x14ac:dyDescent="0.2">
      <c r="B10" s="5" t="s">
        <v>7</v>
      </c>
      <c r="C10" s="28">
        <v>384</v>
      </c>
      <c r="D10" s="42">
        <v>384</v>
      </c>
      <c r="E10" s="28">
        <f t="shared" si="0"/>
        <v>0</v>
      </c>
      <c r="F10" s="42">
        <v>377</v>
      </c>
      <c r="G10" s="28">
        <f t="shared" si="1"/>
        <v>7</v>
      </c>
      <c r="H10" s="7"/>
    </row>
    <row r="11" spans="2:8" x14ac:dyDescent="0.2">
      <c r="B11" s="5" t="s">
        <v>8</v>
      </c>
      <c r="C11" s="28">
        <v>655</v>
      </c>
      <c r="D11" s="42">
        <v>651</v>
      </c>
      <c r="E11" s="28">
        <f t="shared" si="0"/>
        <v>4</v>
      </c>
      <c r="F11" s="42">
        <v>674</v>
      </c>
      <c r="G11" s="28">
        <f t="shared" si="1"/>
        <v>-19</v>
      </c>
      <c r="H11" s="7"/>
    </row>
    <row r="12" spans="2:8" x14ac:dyDescent="0.2">
      <c r="B12" s="5" t="s">
        <v>9</v>
      </c>
      <c r="C12" s="28">
        <v>447</v>
      </c>
      <c r="D12" s="42">
        <v>456</v>
      </c>
      <c r="E12" s="28">
        <f t="shared" si="0"/>
        <v>-9</v>
      </c>
      <c r="F12" s="42">
        <v>457</v>
      </c>
      <c r="G12" s="28">
        <f t="shared" si="1"/>
        <v>-10</v>
      </c>
      <c r="H12" s="7"/>
    </row>
    <row r="13" spans="2:8" x14ac:dyDescent="0.2">
      <c r="B13" s="5" t="s">
        <v>10</v>
      </c>
      <c r="C13" s="28">
        <v>544</v>
      </c>
      <c r="D13" s="42">
        <v>533</v>
      </c>
      <c r="E13" s="28">
        <f t="shared" si="0"/>
        <v>11</v>
      </c>
      <c r="F13" s="42">
        <v>581</v>
      </c>
      <c r="G13" s="28">
        <f t="shared" si="1"/>
        <v>-37</v>
      </c>
      <c r="H13" s="7"/>
    </row>
    <row r="14" spans="2:8" x14ac:dyDescent="0.2">
      <c r="B14" s="5" t="s">
        <v>11</v>
      </c>
      <c r="C14" s="28">
        <v>746</v>
      </c>
      <c r="D14" s="42">
        <v>726</v>
      </c>
      <c r="E14" s="28">
        <f t="shared" si="0"/>
        <v>20</v>
      </c>
      <c r="F14" s="42">
        <v>735</v>
      </c>
      <c r="G14" s="28">
        <f t="shared" si="1"/>
        <v>11</v>
      </c>
      <c r="H14" s="7"/>
    </row>
    <row r="15" spans="2:8" x14ac:dyDescent="0.2">
      <c r="B15" s="5" t="s">
        <v>12</v>
      </c>
      <c r="C15" s="28">
        <v>678</v>
      </c>
      <c r="D15" s="42">
        <v>689</v>
      </c>
      <c r="E15" s="28">
        <f t="shared" si="0"/>
        <v>-11</v>
      </c>
      <c r="F15" s="42">
        <v>737</v>
      </c>
      <c r="G15" s="28">
        <f t="shared" si="1"/>
        <v>-59</v>
      </c>
      <c r="H15" s="7"/>
    </row>
    <row r="16" spans="2:8" x14ac:dyDescent="0.2">
      <c r="B16" s="5" t="s">
        <v>13</v>
      </c>
      <c r="C16" s="28">
        <v>666</v>
      </c>
      <c r="D16" s="42">
        <v>666</v>
      </c>
      <c r="E16" s="28">
        <f t="shared" si="0"/>
        <v>0</v>
      </c>
      <c r="F16" s="42">
        <v>675</v>
      </c>
      <c r="G16" s="28">
        <f t="shared" si="1"/>
        <v>-9</v>
      </c>
      <c r="H16" s="7"/>
    </row>
    <row r="17" spans="2:8" x14ac:dyDescent="0.2">
      <c r="B17" s="5" t="s">
        <v>14</v>
      </c>
      <c r="C17" s="28">
        <v>678</v>
      </c>
      <c r="D17" s="42">
        <v>683</v>
      </c>
      <c r="E17" s="28">
        <f t="shared" si="0"/>
        <v>-5</v>
      </c>
      <c r="F17" s="42">
        <v>681</v>
      </c>
      <c r="G17" s="28">
        <f t="shared" si="1"/>
        <v>-3</v>
      </c>
      <c r="H17" s="7"/>
    </row>
    <row r="18" spans="2:8" x14ac:dyDescent="0.2">
      <c r="B18" s="5" t="s">
        <v>15</v>
      </c>
      <c r="C18" s="28">
        <v>566</v>
      </c>
      <c r="D18" s="42">
        <v>575</v>
      </c>
      <c r="E18" s="28">
        <f t="shared" si="0"/>
        <v>-9</v>
      </c>
      <c r="F18" s="42">
        <v>605</v>
      </c>
      <c r="G18" s="28">
        <f t="shared" si="1"/>
        <v>-39</v>
      </c>
      <c r="H18" s="7"/>
    </row>
    <row r="19" spans="2:8" x14ac:dyDescent="0.2">
      <c r="B19" s="5" t="s">
        <v>16</v>
      </c>
      <c r="C19" s="28">
        <v>1054</v>
      </c>
      <c r="D19" s="42">
        <v>1063</v>
      </c>
      <c r="E19" s="28">
        <f t="shared" si="0"/>
        <v>-9</v>
      </c>
      <c r="F19" s="42">
        <v>1109</v>
      </c>
      <c r="G19" s="28">
        <f t="shared" si="1"/>
        <v>-55</v>
      </c>
      <c r="H19" s="7"/>
    </row>
    <row r="20" spans="2:8" x14ac:dyDescent="0.2">
      <c r="B20" s="5" t="s">
        <v>17</v>
      </c>
      <c r="C20" s="28">
        <v>624</v>
      </c>
      <c r="D20" s="42">
        <v>618</v>
      </c>
      <c r="E20" s="28">
        <f t="shared" si="0"/>
        <v>6</v>
      </c>
      <c r="F20" s="42">
        <v>619</v>
      </c>
      <c r="G20" s="28">
        <f t="shared" si="1"/>
        <v>5</v>
      </c>
      <c r="H20" s="7"/>
    </row>
    <row r="21" spans="2:8" x14ac:dyDescent="0.2">
      <c r="B21" s="5" t="s">
        <v>18</v>
      </c>
      <c r="C21" s="28">
        <v>498</v>
      </c>
      <c r="D21" s="42">
        <v>503</v>
      </c>
      <c r="E21" s="28">
        <f t="shared" si="0"/>
        <v>-5</v>
      </c>
      <c r="F21" s="42">
        <v>503</v>
      </c>
      <c r="G21" s="28">
        <f t="shared" si="1"/>
        <v>-5</v>
      </c>
      <c r="H21" s="7"/>
    </row>
    <row r="22" spans="2:8" x14ac:dyDescent="0.2">
      <c r="B22" s="5" t="s">
        <v>19</v>
      </c>
      <c r="C22" s="28">
        <v>686</v>
      </c>
      <c r="D22" s="42">
        <v>685</v>
      </c>
      <c r="E22" s="28">
        <f t="shared" si="0"/>
        <v>1</v>
      </c>
      <c r="F22" s="42">
        <v>700</v>
      </c>
      <c r="G22" s="28">
        <f t="shared" si="1"/>
        <v>-14</v>
      </c>
      <c r="H22" s="7"/>
    </row>
    <row r="23" spans="2:8" x14ac:dyDescent="0.2">
      <c r="B23" s="5" t="s">
        <v>20</v>
      </c>
      <c r="C23" s="28">
        <v>334</v>
      </c>
      <c r="D23" s="42">
        <v>347</v>
      </c>
      <c r="E23" s="28">
        <f t="shared" si="0"/>
        <v>-13</v>
      </c>
      <c r="F23" s="42">
        <v>351</v>
      </c>
      <c r="G23" s="28">
        <f t="shared" si="1"/>
        <v>-17</v>
      </c>
      <c r="H23" s="7"/>
    </row>
    <row r="24" spans="2:8" x14ac:dyDescent="0.2">
      <c r="B24" s="5" t="s">
        <v>21</v>
      </c>
      <c r="C24" s="28">
        <v>199</v>
      </c>
      <c r="D24" s="42">
        <v>201</v>
      </c>
      <c r="E24" s="28">
        <f t="shared" si="0"/>
        <v>-2</v>
      </c>
      <c r="F24" s="42">
        <v>173</v>
      </c>
      <c r="G24" s="28">
        <f t="shared" si="1"/>
        <v>26</v>
      </c>
      <c r="H24" s="7"/>
    </row>
    <row r="25" spans="2:8" x14ac:dyDescent="0.2">
      <c r="B25" s="5" t="s">
        <v>22</v>
      </c>
      <c r="C25" s="28">
        <v>682</v>
      </c>
      <c r="D25" s="42">
        <v>689</v>
      </c>
      <c r="E25" s="28">
        <f t="shared" si="0"/>
        <v>-7</v>
      </c>
      <c r="F25" s="42">
        <v>675</v>
      </c>
      <c r="G25" s="28">
        <f t="shared" si="1"/>
        <v>7</v>
      </c>
      <c r="H25" s="7"/>
    </row>
    <row r="26" spans="2:8" x14ac:dyDescent="0.2">
      <c r="B26" s="5" t="s">
        <v>23</v>
      </c>
      <c r="C26" s="28">
        <v>1302</v>
      </c>
      <c r="D26" s="42">
        <v>1306</v>
      </c>
      <c r="E26" s="28">
        <f t="shared" si="0"/>
        <v>-4</v>
      </c>
      <c r="F26" s="42">
        <v>1380</v>
      </c>
      <c r="G26" s="28">
        <f t="shared" si="1"/>
        <v>-78</v>
      </c>
      <c r="H26" s="7"/>
    </row>
    <row r="27" spans="2:8" x14ac:dyDescent="0.2">
      <c r="B27" s="5" t="s">
        <v>24</v>
      </c>
      <c r="C27" s="28">
        <v>302</v>
      </c>
      <c r="D27" s="42">
        <v>298</v>
      </c>
      <c r="E27" s="28">
        <f t="shared" si="0"/>
        <v>4</v>
      </c>
      <c r="F27" s="42">
        <v>292</v>
      </c>
      <c r="G27" s="28">
        <f t="shared" si="1"/>
        <v>10</v>
      </c>
      <c r="H27" s="7"/>
    </row>
    <row r="28" spans="2:8" ht="15" x14ac:dyDescent="0.25">
      <c r="B28" s="39" t="s">
        <v>25</v>
      </c>
      <c r="C28" s="48">
        <f>SUM(C3:C27)</f>
        <v>15732</v>
      </c>
      <c r="D28" s="44">
        <f>SUM(D3:D27)</f>
        <v>15765</v>
      </c>
      <c r="E28" s="48">
        <f>SUM(E3:E27)</f>
        <v>-33</v>
      </c>
      <c r="F28" s="44">
        <f>SUM(F3:F27)</f>
        <v>16114</v>
      </c>
      <c r="G28" s="48">
        <f>SUM(G3:G27)</f>
        <v>-382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31-08-'24 r.</v>
      </c>
      <c r="E3" s="36" t="str">
        <f>T('6pow. 50 r.ż.'!D2)</f>
        <v>liczba bezrobotnych 50+ stan na 31-07-'24 r.</v>
      </c>
      <c r="F3" s="36" t="str">
        <f>T('6pow. 50 r.ż.'!E2)</f>
        <v>wzrost/spadek do poprzedniego  miesiąca</v>
      </c>
      <c r="G3" s="36" t="str">
        <f>T('6pow. 50 r.ż.'!F2)</f>
        <v>liczba bezrobotnych 50+ stan na 31-08-'23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199</v>
      </c>
      <c r="E4" s="42">
        <f>INDEX('6pow. 50 r.ż.'!B3:G28,MATCH(1,B4:B29,0),3)</f>
        <v>201</v>
      </c>
      <c r="F4" s="6">
        <f>INDEX('6pow. 50 r.ż.'!B3:G28,MATCH(1,B4:B29,0),4)</f>
        <v>-2</v>
      </c>
      <c r="G4" s="42">
        <f>INDEX('6pow. 50 r.ż.'!B3:G28,MATCH(1,B4:B29,0),5)</f>
        <v>173</v>
      </c>
      <c r="H4" s="6">
        <f>INDEX('6pow. 50 r.ż.'!B3:G28,MATCH(1,B4:B29,0),6)</f>
        <v>26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234</v>
      </c>
      <c r="E5" s="42">
        <f>INDEX('6pow. 50 r.ż.'!B3:G28,MATCH(2,B4:B29,0),3)</f>
        <v>227</v>
      </c>
      <c r="F5" s="6">
        <f>INDEX('6pow. 50 r.ż.'!B3:G28,MATCH(2,B4:B29,0),4)</f>
        <v>7</v>
      </c>
      <c r="G5" s="42">
        <f>INDEX('6pow. 50 r.ż.'!B3:G28,MATCH(2,B4:B29,0),5)</f>
        <v>243</v>
      </c>
      <c r="H5" s="6">
        <f>INDEX('6pow. 50 r.ż.'!B3:G28,MATCH(2,B4:B29,0),6)</f>
        <v>-9</v>
      </c>
    </row>
    <row r="6" spans="2:8" x14ac:dyDescent="0.2">
      <c r="B6" s="6">
        <f>RANK('6pow. 50 r.ż.'!C5,'6pow. 50 r.ż.'!$C$3:'6pow. 50 r.ż.'!$C$28,1)+COUNTIF('6pow. 50 r.ż.'!$C$3:'6pow. 50 r.ż.'!C5,'6pow. 50 r.ż.'!C5)-1</f>
        <v>9</v>
      </c>
      <c r="C6" s="5" t="str">
        <f>INDEX('6pow. 50 r.ż.'!B3:G28,MATCH(3,B4:B29,0),1)</f>
        <v>Tarnobrzeg</v>
      </c>
      <c r="D6" s="6">
        <f>INDEX('6pow. 50 r.ż.'!B3:G28,MATCH(3,B4:B29,0),2)</f>
        <v>302</v>
      </c>
      <c r="E6" s="42">
        <f>INDEX('6pow. 50 r.ż.'!B3:G28,MATCH(3,B4:B29,0),3)</f>
        <v>298</v>
      </c>
      <c r="F6" s="6">
        <f>INDEX('6pow. 50 r.ż.'!B3:G28,MATCH(3,B4:B29,0),4)</f>
        <v>4</v>
      </c>
      <c r="G6" s="42">
        <f>INDEX('6pow. 50 r.ż.'!B3:G28,MATCH(3,B4:B29,0),5)</f>
        <v>292</v>
      </c>
      <c r="H6" s="6">
        <f>INDEX('6pow. 50 r.ż.'!B3:G28,MATCH(3,B4:B29,0),6)</f>
        <v>10</v>
      </c>
    </row>
    <row r="7" spans="2:8" x14ac:dyDescent="0.2">
      <c r="B7" s="6">
        <f>RANK('6pow. 50 r.ż.'!C6,'6pow. 50 r.ż.'!$C$3:'6pow. 50 r.ż.'!$C$28,1)+COUNTIF('6pow. 50 r.ż.'!$C$3:'6pow. 50 r.ż.'!C6,'6pow. 50 r.ż.'!C6)-1</f>
        <v>23</v>
      </c>
      <c r="C7" s="5" t="str">
        <f>INDEX('6pow. 50 r.ż.'!B3:G28,MATCH(4,B4:B29,0),1)</f>
        <v xml:space="preserve">tarnobrzeski </v>
      </c>
      <c r="D7" s="6">
        <f>INDEX('6pow. 50 r.ż.'!B3:G28,MATCH(4,B4:B29,0),2)</f>
        <v>334</v>
      </c>
      <c r="E7" s="42">
        <f>INDEX('6pow. 50 r.ż.'!B3:G28,MATCH(4,B4:B29,0),3)</f>
        <v>347</v>
      </c>
      <c r="F7" s="6">
        <f>INDEX('6pow. 50 r.ż.'!B3:G28,MATCH(4,B4:B29,0),4)</f>
        <v>-13</v>
      </c>
      <c r="G7" s="42">
        <f>INDEX('6pow. 50 r.ż.'!B3:G28,MATCH(4,B4:B29,0),5)</f>
        <v>351</v>
      </c>
      <c r="H7" s="6">
        <f>INDEX('6pow. 50 r.ż.'!B3:G28,MATCH(4,B4:B29,0),6)</f>
        <v>-17</v>
      </c>
    </row>
    <row r="8" spans="2:8" x14ac:dyDescent="0.2">
      <c r="B8" s="6">
        <f>RANK('6pow. 50 r.ż.'!C7,'6pow. 50 r.ż.'!$C$3:'6pow. 50 r.ż.'!$C$28,1)+COUNTIF('6pow. 50 r.ż.'!$C$3:'6pow. 50 r.ż.'!C7,'6pow. 50 r.ż.'!C7)-1</f>
        <v>24</v>
      </c>
      <c r="C8" s="5" t="str">
        <f>INDEX('6pow. 50 r.ż.'!B3:G28,MATCH(5,B4:B29,0),1)</f>
        <v>leski</v>
      </c>
      <c r="D8" s="6">
        <f>INDEX('6pow. 50 r.ż.'!B3:G28,MATCH(5,B4:B29,0),2)</f>
        <v>384</v>
      </c>
      <c r="E8" s="42">
        <f>INDEX('6pow. 50 r.ż.'!B3:G28,MATCH(5,B4:B29,0),3)</f>
        <v>384</v>
      </c>
      <c r="F8" s="6">
        <f>INDEX('6pow. 50 r.ż.'!B3:G28,MATCH(5,B4:B29,0),4)</f>
        <v>0</v>
      </c>
      <c r="G8" s="42">
        <f>INDEX('6pow. 50 r.ż.'!B3:G28,MATCH(5,B4:B29,0),5)</f>
        <v>377</v>
      </c>
      <c r="H8" s="6">
        <f>INDEX('6pow. 50 r.ż.'!B3:G28,MATCH(5,B4:B29,0),6)</f>
        <v>7</v>
      </c>
    </row>
    <row r="9" spans="2:8" x14ac:dyDescent="0.2">
      <c r="B9" s="6">
        <f>RANK('6pow. 50 r.ż.'!C8,'6pow. 50 r.ż.'!$C$3:'6pow. 50 r.ż.'!$C$28,1)+COUNTIF('6pow. 50 r.ż.'!$C$3:'6pow. 50 r.ż.'!C8,'6pow. 50 r.ż.'!C8)-1</f>
        <v>6</v>
      </c>
      <c r="C9" s="5" t="str">
        <f>INDEX('6pow. 50 r.ż.'!B3:G28,MATCH(6,B4:B29,0),1)</f>
        <v>kolbuszowski</v>
      </c>
      <c r="D9" s="6">
        <f>INDEX('6pow. 50 r.ż.'!B3:G28,MATCH(6,B4:B29,0),2)</f>
        <v>407</v>
      </c>
      <c r="E9" s="42">
        <f>INDEX('6pow. 50 r.ż.'!B3:G28,MATCH(6,B4:B29,0),3)</f>
        <v>404</v>
      </c>
      <c r="F9" s="6">
        <f>INDEX('6pow. 50 r.ż.'!B3:G28,MATCH(6,B4:B29,0),4)</f>
        <v>3</v>
      </c>
      <c r="G9" s="42">
        <f>INDEX('6pow. 50 r.ż.'!B3:G28,MATCH(6,B4:B29,0),5)</f>
        <v>388</v>
      </c>
      <c r="H9" s="6">
        <f>INDEX('6pow. 50 r.ż.'!B3:G28,MATCH(6,B4:B29,0),6)</f>
        <v>19</v>
      </c>
    </row>
    <row r="10" spans="2:8" x14ac:dyDescent="0.2">
      <c r="B10" s="6">
        <f>RANK('6pow. 50 r.ż.'!C9,'6pow. 50 r.ż.'!$C$3:'6pow. 50 r.ż.'!$C$28,1)+COUNTIF('6pow. 50 r.ż.'!$C$3:'6pow. 50 r.ż.'!C9,'6pow. 50 r.ż.'!C9)-1</f>
        <v>11</v>
      </c>
      <c r="C10" s="9" t="str">
        <f>INDEX('6pow. 50 r.ż.'!B3:G28,MATCH(7,B4:B29,0),1)</f>
        <v>lubaczowski</v>
      </c>
      <c r="D10" s="6">
        <f>INDEX('6pow. 50 r.ż.'!B3:G28,MATCH(7,B4:B29,0),2)</f>
        <v>447</v>
      </c>
      <c r="E10" s="42">
        <f>INDEX('6pow. 50 r.ż.'!B3:G28,MATCH(7,B4:B29,0),3)</f>
        <v>456</v>
      </c>
      <c r="F10" s="6">
        <f>INDEX('6pow. 50 r.ż.'!B3:G28,MATCH(7,B4:B29,0),4)</f>
        <v>-9</v>
      </c>
      <c r="G10" s="42">
        <f>INDEX('6pow. 50 r.ż.'!B3:G28,MATCH(7,B4:B29,0),5)</f>
        <v>457</v>
      </c>
      <c r="H10" s="6">
        <f>INDEX('6pow. 50 r.ż.'!B3:G28,MATCH(7,B4:B29,0),6)</f>
        <v>-10</v>
      </c>
    </row>
    <row r="11" spans="2:8" x14ac:dyDescent="0.2">
      <c r="B11" s="6">
        <f>RANK('6pow. 50 r.ż.'!C10,'6pow. 50 r.ż.'!$C$3:'6pow. 50 r.ż.'!$C$28,1)+COUNTIF('6pow. 50 r.ż.'!$C$3:'6pow. 50 r.ż.'!C10,'6pow. 50 r.ż.'!C10)-1</f>
        <v>5</v>
      </c>
      <c r="C11" s="5" t="str">
        <f>INDEX('6pow. 50 r.ż.'!B3:G28,MATCH(8,B4:B29,0),1)</f>
        <v>stalowowolski</v>
      </c>
      <c r="D11" s="6">
        <f>INDEX('6pow. 50 r.ż.'!B3:G28,MATCH(8,B4:B29,0),2)</f>
        <v>498</v>
      </c>
      <c r="E11" s="42">
        <f>INDEX('6pow. 50 r.ż.'!B3:G28,MATCH(8,B4:B29,0),3)</f>
        <v>503</v>
      </c>
      <c r="F11" s="6">
        <f>INDEX('6pow. 50 r.ż.'!B3:G28,MATCH(8,B4:B29,0),4)</f>
        <v>-5</v>
      </c>
      <c r="G11" s="42">
        <f>INDEX('6pow. 50 r.ż.'!B3:G28,MATCH(8,B4:B29,0),5)</f>
        <v>503</v>
      </c>
      <c r="H11" s="6">
        <f>INDEX('6pow. 50 r.ż.'!B3:G28,MATCH(8,B4:B29,0),6)</f>
        <v>-5</v>
      </c>
    </row>
    <row r="12" spans="2:8" x14ac:dyDescent="0.2">
      <c r="B12" s="6">
        <f>RANK('6pow. 50 r.ż.'!C11,'6pow. 50 r.ż.'!$C$3:'6pow. 50 r.ż.'!$C$28,1)+COUNTIF('6pow. 50 r.ż.'!$C$3:'6pow. 50 r.ż.'!C11,'6pow. 50 r.ż.'!C11)-1</f>
        <v>14</v>
      </c>
      <c r="C12" s="5" t="str">
        <f>INDEX('6pow. 50 r.ż.'!B3:G28,MATCH(9,B4:B29,0),1)</f>
        <v>dębicki</v>
      </c>
      <c r="D12" s="6">
        <f>INDEX('6pow. 50 r.ż.'!B3:G28,MATCH(9,B4:B29,0),2)</f>
        <v>519</v>
      </c>
      <c r="E12" s="42">
        <f>INDEX('6pow. 50 r.ż.'!B3:G28,MATCH(9,B4:B29,0),3)</f>
        <v>515</v>
      </c>
      <c r="F12" s="6">
        <f>INDEX('6pow. 50 r.ż.'!B3:G28,MATCH(9,B4:B29,0),4)</f>
        <v>4</v>
      </c>
      <c r="G12" s="42">
        <f>INDEX('6pow. 50 r.ż.'!B3:G28,MATCH(9,B4:B29,0),5)</f>
        <v>542</v>
      </c>
      <c r="H12" s="6">
        <f>INDEX('6pow. 50 r.ż.'!B3:G28,MATCH(9,B4:B29,0),6)</f>
        <v>-23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łańcucki</v>
      </c>
      <c r="D13" s="6">
        <f>INDEX('6pow. 50 r.ż.'!B3:G28,MATCH(10,B4:B29,0),2)</f>
        <v>544</v>
      </c>
      <c r="E13" s="42">
        <f>INDEX('6pow. 50 r.ż.'!B3:G28,MATCH(10,B4:B29,0),3)</f>
        <v>533</v>
      </c>
      <c r="F13" s="6">
        <f>INDEX('6pow. 50 r.ż.'!B3:G28,MATCH(10,B4:B29,0),4)</f>
        <v>11</v>
      </c>
      <c r="G13" s="42">
        <f>INDEX('6pow. 50 r.ż.'!B3:G28,MATCH(10,B4:B29,0),5)</f>
        <v>581</v>
      </c>
      <c r="H13" s="6">
        <f>INDEX('6pow. 50 r.ż.'!B3:G28,MATCH(10,B4:B29,0),6)</f>
        <v>-37</v>
      </c>
    </row>
    <row r="14" spans="2:8" x14ac:dyDescent="0.2">
      <c r="B14" s="6">
        <f>RANK('6pow. 50 r.ż.'!C13,'6pow. 50 r.ż.'!$C$3:'6pow. 50 r.ż.'!$C$28,1)+COUNTIF('6pow. 50 r.ż.'!$C$3:'6pow. 50 r.ż.'!C13,'6pow. 50 r.ż.'!C13)-1</f>
        <v>10</v>
      </c>
      <c r="C14" s="5" t="str">
        <f>INDEX('6pow. 50 r.ż.'!B3:G28,MATCH(11,B4:B29,0),1)</f>
        <v>krośnieński</v>
      </c>
      <c r="D14" s="6">
        <f>INDEX('6pow. 50 r.ż.'!B3:G28,MATCH(11,B4:B29,0),2)</f>
        <v>565</v>
      </c>
      <c r="E14" s="42">
        <f>INDEX('6pow. 50 r.ż.'!B3:G28,MATCH(11,B4:B29,0),3)</f>
        <v>579</v>
      </c>
      <c r="F14" s="6">
        <f>INDEX('6pow. 50 r.ż.'!B3:G28,MATCH(11,B4:B29,0),4)</f>
        <v>-14</v>
      </c>
      <c r="G14" s="42">
        <f>INDEX('6pow. 50 r.ż.'!B3:G28,MATCH(11,B4:B29,0),5)</f>
        <v>555</v>
      </c>
      <c r="H14" s="6">
        <f>INDEX('6pow. 50 r.ż.'!B3:G28,MATCH(11,B4:B29,0),6)</f>
        <v>10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ropczycko-sędziszowski</v>
      </c>
      <c r="D15" s="6">
        <f>INDEX('6pow. 50 r.ż.'!B3:G28,MATCH(12,B4:B29,0),2)</f>
        <v>566</v>
      </c>
      <c r="E15" s="42">
        <f>INDEX('6pow. 50 r.ż.'!B3:G28,MATCH(12,B4:B29,0),3)</f>
        <v>575</v>
      </c>
      <c r="F15" s="6">
        <f>INDEX('6pow. 50 r.ż.'!B3:G28,MATCH(12,B4:B29,0),4)</f>
        <v>-9</v>
      </c>
      <c r="G15" s="42">
        <f>INDEX('6pow. 50 r.ż.'!B3:G28,MATCH(12,B4:B29,0),5)</f>
        <v>605</v>
      </c>
      <c r="H15" s="6">
        <f>INDEX('6pow. 50 r.ż.'!B3:G28,MATCH(12,B4:B29,0),6)</f>
        <v>-39</v>
      </c>
    </row>
    <row r="16" spans="2:8" x14ac:dyDescent="0.2">
      <c r="B16" s="6">
        <f>RANK('6pow. 50 r.ż.'!C15,'6pow. 50 r.ż.'!$C$3:'6pow. 50 r.ż.'!$C$28,1)+COUNTIF('6pow. 50 r.ż.'!$C$3:'6pow. 50 r.ż.'!C15,'6pow. 50 r.ż.'!C15)-1</f>
        <v>16</v>
      </c>
      <c r="C16" s="5" t="str">
        <f>INDEX('6pow. 50 r.ż.'!B3:G28,MATCH(13,B4:B29,0),1)</f>
        <v>sanocki</v>
      </c>
      <c r="D16" s="6">
        <f>INDEX('6pow. 50 r.ż.'!B3:G28,MATCH(13,B4:B29,0),2)</f>
        <v>624</v>
      </c>
      <c r="E16" s="42">
        <f>INDEX('6pow. 50 r.ż.'!B3:G28,MATCH(13,B4:B29,0),3)</f>
        <v>618</v>
      </c>
      <c r="F16" s="6">
        <f>INDEX('6pow. 50 r.ż.'!B3:G28,MATCH(13,B4:B29,0),4)</f>
        <v>6</v>
      </c>
      <c r="G16" s="42">
        <f>INDEX('6pow. 50 r.ż.'!B3:G28,MATCH(13,B4:B29,0),5)</f>
        <v>619</v>
      </c>
      <c r="H16" s="6">
        <f>INDEX('6pow. 50 r.ż.'!B3:G28,MATCH(13,B4:B29,0),6)</f>
        <v>5</v>
      </c>
    </row>
    <row r="17" spans="2:8" x14ac:dyDescent="0.2">
      <c r="B17" s="6">
        <f>RANK('6pow. 50 r.ż.'!C16,'6pow. 50 r.ż.'!$C$3:'6pow. 50 r.ż.'!$C$28,1)+COUNTIF('6pow. 50 r.ż.'!$C$3:'6pow. 50 r.ż.'!C16,'6pow. 50 r.ż.'!C16)-1</f>
        <v>15</v>
      </c>
      <c r="C17" s="5" t="str">
        <f>INDEX('6pow. 50 r.ż.'!B3:G28,MATCH(14,B4:B29,0),1)</f>
        <v>leżajski</v>
      </c>
      <c r="D17" s="6">
        <f>INDEX('6pow. 50 r.ż.'!B3:G28,MATCH(14,B4:B29,0),2)</f>
        <v>655</v>
      </c>
      <c r="E17" s="42">
        <f>INDEX('6pow. 50 r.ż.'!B3:G28,MATCH(14,B4:B29,0),3)</f>
        <v>651</v>
      </c>
      <c r="F17" s="6">
        <f>INDEX('6pow. 50 r.ż.'!B3:G28,MATCH(14,B4:B29,0),4)</f>
        <v>4</v>
      </c>
      <c r="G17" s="42">
        <f>INDEX('6pow. 50 r.ż.'!B3:G28,MATCH(14,B4:B29,0),5)</f>
        <v>674</v>
      </c>
      <c r="H17" s="6">
        <f>INDEX('6pow. 50 r.ż.'!B3:G28,MATCH(14,B4:B29,0),6)</f>
        <v>-19</v>
      </c>
    </row>
    <row r="18" spans="2:8" x14ac:dyDescent="0.2">
      <c r="B18" s="6">
        <f>RANK('6pow. 50 r.ż.'!C17,'6pow. 50 r.ż.'!$C$3:'6pow. 50 r.ż.'!$C$28,1)+COUNTIF('6pow. 50 r.ż.'!$C$3:'6pow. 50 r.ż.'!C17,'6pow. 50 r.ż.'!C17)-1</f>
        <v>17</v>
      </c>
      <c r="C18" s="5" t="str">
        <f>INDEX('6pow. 50 r.ż.'!B3:G28,MATCH(15,B4:B29,0),1)</f>
        <v>przemyski</v>
      </c>
      <c r="D18" s="6">
        <f>INDEX('6pow. 50 r.ż.'!B3:G28,MATCH(15,B4:B29,0),2)</f>
        <v>666</v>
      </c>
      <c r="E18" s="42">
        <f>INDEX('6pow. 50 r.ż.'!B3:G28,MATCH(15,B4:B29,0),3)</f>
        <v>666</v>
      </c>
      <c r="F18" s="6">
        <f>INDEX('6pow. 50 r.ż.'!B3:G28,MATCH(15,B4:B29,0),4)</f>
        <v>0</v>
      </c>
      <c r="G18" s="42">
        <f>INDEX('6pow. 50 r.ż.'!B3:G28,MATCH(15,B4:B29,0),5)</f>
        <v>675</v>
      </c>
      <c r="H18" s="6">
        <f>INDEX('6pow. 50 r.ż.'!B3:G28,MATCH(15,B4:B29,0),6)</f>
        <v>-9</v>
      </c>
    </row>
    <row r="19" spans="2:8" x14ac:dyDescent="0.2">
      <c r="B19" s="6">
        <f>RANK('6pow. 50 r.ż.'!C18,'6pow. 50 r.ż.'!$C$3:'6pow. 50 r.ż.'!$C$28,1)+COUNTIF('6pow. 50 r.ż.'!$C$3:'6pow. 50 r.ż.'!C18,'6pow. 50 r.ż.'!C18)-1</f>
        <v>12</v>
      </c>
      <c r="C19" s="5" t="str">
        <f>INDEX('6pow. 50 r.ż.'!B3:G28,MATCH(16,B4:B29,0),1)</f>
        <v>niżański</v>
      </c>
      <c r="D19" s="6">
        <f>INDEX('6pow. 50 r.ż.'!B3:G28,MATCH(16,B4:B29,0),2)</f>
        <v>678</v>
      </c>
      <c r="E19" s="42">
        <f>INDEX('6pow. 50 r.ż.'!B3:G28,MATCH(16,B4:B29,0),3)</f>
        <v>689</v>
      </c>
      <c r="F19" s="6">
        <f>INDEX('6pow. 50 r.ż.'!B3:G28,MATCH(16,B4:B29,0),4)</f>
        <v>-11</v>
      </c>
      <c r="G19" s="42">
        <f>INDEX('6pow. 50 r.ż.'!B3:G28,MATCH(16,B4:B29,0),5)</f>
        <v>737</v>
      </c>
      <c r="H19" s="6">
        <f>INDEX('6pow. 50 r.ż.'!B3:G28,MATCH(16,B4:B29,0),6)</f>
        <v>-59</v>
      </c>
    </row>
    <row r="20" spans="2:8" x14ac:dyDescent="0.2">
      <c r="B20" s="6">
        <f>RANK('6pow. 50 r.ż.'!C19,'6pow. 50 r.ż.'!$C$3:'6pow. 50 r.ż.'!$C$28,1)+COUNTIF('6pow. 50 r.ż.'!$C$3:'6pow. 50 r.ż.'!C19,'6pow. 50 r.ż.'!C19)-1</f>
        <v>22</v>
      </c>
      <c r="C20" s="5" t="str">
        <f>INDEX('6pow. 50 r.ż.'!B3:G28,MATCH(17,B4:B29,0),1)</f>
        <v>przeworski</v>
      </c>
      <c r="D20" s="6">
        <f>INDEX('6pow. 50 r.ż.'!B3:G28,MATCH(17,B4:B29,0),2)</f>
        <v>678</v>
      </c>
      <c r="E20" s="42">
        <f>INDEX('6pow. 50 r.ż.'!B3:G28,MATCH(17,B4:B29,0),3)</f>
        <v>683</v>
      </c>
      <c r="F20" s="6">
        <f>INDEX('6pow. 50 r.ż.'!B3:G28,MATCH(17,B4:B29,0),4)</f>
        <v>-5</v>
      </c>
      <c r="G20" s="42">
        <f>INDEX('6pow. 50 r.ż.'!B3:G28,MATCH(17,B4:B29,0),5)</f>
        <v>681</v>
      </c>
      <c r="H20" s="6">
        <f>INDEX('6pow. 50 r.ż.'!B3:G28,MATCH(17,B4:B29,0),6)</f>
        <v>-3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Przemyśl</v>
      </c>
      <c r="D21" s="6">
        <f>INDEX('6pow. 50 r.ż.'!B3:G28,MATCH(18,B4:B29,0),2)</f>
        <v>682</v>
      </c>
      <c r="E21" s="42">
        <f>INDEX('6pow. 50 r.ż.'!B3:G28,MATCH(18,B4:B29,0),3)</f>
        <v>689</v>
      </c>
      <c r="F21" s="6">
        <f>INDEX('6pow. 50 r.ż.'!B3:G28,MATCH(18,B4:B29,0),4)</f>
        <v>-7</v>
      </c>
      <c r="G21" s="42">
        <f>INDEX('6pow. 50 r.ż.'!B3:G28,MATCH(18,B4:B29,0),5)</f>
        <v>675</v>
      </c>
      <c r="H21" s="6">
        <f>INDEX('6pow. 50 r.ż.'!B3:G28,MATCH(18,B4:B29,0),6)</f>
        <v>7</v>
      </c>
    </row>
    <row r="22" spans="2:8" x14ac:dyDescent="0.2">
      <c r="B22" s="6">
        <f>RANK('6pow. 50 r.ż.'!C21,'6pow. 50 r.ż.'!$C$3:'6pow. 50 r.ż.'!$C$28,1)+COUNTIF('6pow. 50 r.ż.'!$C$3:'6pow. 50 r.ż.'!C21,'6pow. 50 r.ż.'!C21)-1</f>
        <v>8</v>
      </c>
      <c r="C22" s="5" t="str">
        <f>INDEX('6pow. 50 r.ż.'!B3:G28,MATCH(19,B4:B29,0),1)</f>
        <v>strzyżowski</v>
      </c>
      <c r="D22" s="6">
        <f>INDEX('6pow. 50 r.ż.'!B3:G28,MATCH(19,B4:B29,0),2)</f>
        <v>686</v>
      </c>
      <c r="E22" s="42">
        <f>INDEX('6pow. 50 r.ż.'!B3:G28,MATCH(19,B4:B29,0),3)</f>
        <v>685</v>
      </c>
      <c r="F22" s="6">
        <f>INDEX('6pow. 50 r.ż.'!B3:G28,MATCH(19,B4:B29,0),4)</f>
        <v>1</v>
      </c>
      <c r="G22" s="42">
        <f>INDEX('6pow. 50 r.ż.'!B3:G28,MATCH(19,B4:B29,0),5)</f>
        <v>700</v>
      </c>
      <c r="H22" s="6">
        <f>INDEX('6pow. 50 r.ż.'!B3:G28,MATCH(19,B4:B29,0),6)</f>
        <v>-14</v>
      </c>
    </row>
    <row r="23" spans="2:8" x14ac:dyDescent="0.2">
      <c r="B23" s="6">
        <f>RANK('6pow. 50 r.ż.'!C22,'6pow. 50 r.ż.'!$C$3:'6pow. 50 r.ż.'!$C$28,1)+COUNTIF('6pow. 50 r.ż.'!$C$3:'6pow. 50 r.ż.'!C22,'6pow. 50 r.ż.'!C22)-1</f>
        <v>19</v>
      </c>
      <c r="C23" s="5" t="str">
        <f>INDEX('6pow. 50 r.ż.'!B3:G28,MATCH(20,B4:B29,0),1)</f>
        <v>mielecki</v>
      </c>
      <c r="D23" s="6">
        <f>INDEX('6pow. 50 r.ż.'!B3:G28,MATCH(20,B4:B29,0),2)</f>
        <v>746</v>
      </c>
      <c r="E23" s="42">
        <f>INDEX('6pow. 50 r.ż.'!B3:G28,MATCH(20,B4:B29,0),3)</f>
        <v>726</v>
      </c>
      <c r="F23" s="6">
        <f>INDEX('6pow. 50 r.ż.'!B3:G28,MATCH(20,B4:B29,0),4)</f>
        <v>20</v>
      </c>
      <c r="G23" s="42">
        <f>INDEX('6pow. 50 r.ż.'!B3:G28,MATCH(20,B4:B29,0),5)</f>
        <v>735</v>
      </c>
      <c r="H23" s="6">
        <f>INDEX('6pow. 50 r.ż.'!B3:G28,MATCH(20,B4:B29,0),6)</f>
        <v>11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846</v>
      </c>
      <c r="E24" s="42">
        <f>INDEX('6pow. 50 r.ż.'!B3:G28,MATCH(21,B4:B29,0),3)</f>
        <v>851</v>
      </c>
      <c r="F24" s="6">
        <f>INDEX('6pow. 50 r.ż.'!B3:G28,MATCH(21,B4:B29,0),4)</f>
        <v>-5</v>
      </c>
      <c r="G24" s="42">
        <f>INDEX('6pow. 50 r.ż.'!B3:G28,MATCH(21,B4:B29,0),5)</f>
        <v>910</v>
      </c>
      <c r="H24" s="6">
        <f>INDEX('6pow. 50 r.ż.'!B3:G28,MATCH(21,B4:B29,0),6)</f>
        <v>-64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rzeszowski</v>
      </c>
      <c r="D25" s="6">
        <f>INDEX('6pow. 50 r.ż.'!B3:G28,MATCH(22,B4:B29,0),2)</f>
        <v>1054</v>
      </c>
      <c r="E25" s="42">
        <f>INDEX('6pow. 50 r.ż.'!B3:G28,MATCH(22,B4:B29,0),3)</f>
        <v>1063</v>
      </c>
      <c r="F25" s="6">
        <f>INDEX('6pow. 50 r.ż.'!B3:G28,MATCH(22,B4:B29,0),4)</f>
        <v>-9</v>
      </c>
      <c r="G25" s="42">
        <f>INDEX('6pow. 50 r.ż.'!B3:G28,MATCH(22,B4:B29,0),5)</f>
        <v>1109</v>
      </c>
      <c r="H25" s="6">
        <f>INDEX('6pow. 50 r.ż.'!B3:G28,MATCH(22,B4:B29,0),6)</f>
        <v>-55</v>
      </c>
    </row>
    <row r="26" spans="2:8" x14ac:dyDescent="0.2">
      <c r="B26" s="6">
        <f>RANK('6pow. 50 r.ż.'!C25,'6pow. 50 r.ż.'!$C$3:'6pow. 50 r.ż.'!$C$28,1)+COUNTIF('6pow. 50 r.ż.'!$C$3:'6pow. 50 r.ż.'!C25,'6pow. 50 r.ż.'!C25)-1</f>
        <v>18</v>
      </c>
      <c r="C26" s="5" t="str">
        <f>INDEX('6pow. 50 r.ż.'!B3:G28,MATCH(23,B4:B29,0),1)</f>
        <v>jarosławski</v>
      </c>
      <c r="D26" s="6">
        <f>INDEX('6pow. 50 r.ż.'!B3:G28,MATCH(23,B4:B29,0),2)</f>
        <v>1057</v>
      </c>
      <c r="E26" s="42">
        <f>INDEX('6pow. 50 r.ż.'!B3:G28,MATCH(23,B4:B29,0),3)</f>
        <v>1062</v>
      </c>
      <c r="F26" s="6">
        <f>INDEX('6pow. 50 r.ż.'!B3:G28,MATCH(23,B4:B29,0),4)</f>
        <v>-5</v>
      </c>
      <c r="G26" s="42">
        <f>INDEX('6pow. 50 r.ż.'!B3:G28,MATCH(23,B4:B29,0),5)</f>
        <v>1033</v>
      </c>
      <c r="H26" s="6">
        <f>INDEX('6pow. 50 r.ż.'!B3:G28,MATCH(23,B4:B29,0),6)</f>
        <v>24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jasielski</v>
      </c>
      <c r="D27" s="6">
        <f>INDEX('6pow. 50 r.ż.'!B3:G28,MATCH(24,B4:B29,0),2)</f>
        <v>1059</v>
      </c>
      <c r="E27" s="42">
        <f>INDEX('6pow. 50 r.ż.'!B3:G28,MATCH(24,B4:B29,0),3)</f>
        <v>1054</v>
      </c>
      <c r="F27" s="6">
        <f>INDEX('6pow. 50 r.ż.'!B3:G28,MATCH(24,B4:B29,0),4)</f>
        <v>5</v>
      </c>
      <c r="G27" s="42">
        <f>INDEX('6pow. 50 r.ż.'!B3:G28,MATCH(24,B4:B29,0),5)</f>
        <v>1119</v>
      </c>
      <c r="H27" s="6">
        <f>INDEX('6pow. 50 r.ż.'!B3:G28,MATCH(24,B4:B29,0),6)</f>
        <v>-60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1302</v>
      </c>
      <c r="E28" s="42">
        <f>INDEX('6pow. 50 r.ż.'!B3:G28,MATCH(25,B4:B29,0),3)</f>
        <v>1306</v>
      </c>
      <c r="F28" s="6">
        <f>INDEX('6pow. 50 r.ż.'!B3:G28,MATCH(25,B4:B29,0),4)</f>
        <v>-4</v>
      </c>
      <c r="G28" s="42">
        <f>INDEX('6pow. 50 r.ż.'!B3:G28,MATCH(25,B4:B29,0),5)</f>
        <v>1380</v>
      </c>
      <c r="H28" s="6">
        <f>INDEX('6pow. 50 r.ż.'!B3:G28,MATCH(25,B4:B29,0),6)</f>
        <v>-78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15732</v>
      </c>
      <c r="E29" s="44">
        <f>INDEX('6pow. 50 r.ż.'!B3:G28,MATCH(26,B4:B29,0),3)</f>
        <v>15765</v>
      </c>
      <c r="F29" s="40">
        <f>INDEX('6pow. 50 r.ż.'!B3:G28,MATCH(26,B4:B29,0),4)</f>
        <v>-33</v>
      </c>
      <c r="G29" s="44">
        <f>INDEX('6pow. 50 r.ż.'!B3:G28,MATCH(26,B4:B29,0),5)</f>
        <v>16114</v>
      </c>
      <c r="H29" s="40">
        <f>INDEX('6pow. 50 r.ż.'!B3:G28,MATCH(26,B4:B29,0),6)</f>
        <v>-382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7.28515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93</v>
      </c>
      <c r="D2" s="38" t="s">
        <v>74</v>
      </c>
      <c r="E2" s="37" t="s">
        <v>28</v>
      </c>
      <c r="F2" s="38" t="s">
        <v>92</v>
      </c>
      <c r="G2" s="37" t="s">
        <v>26</v>
      </c>
    </row>
    <row r="3" spans="2:8" x14ac:dyDescent="0.2">
      <c r="B3" s="5" t="s">
        <v>0</v>
      </c>
      <c r="C3" s="28">
        <v>98</v>
      </c>
      <c r="D3" s="42">
        <v>19</v>
      </c>
      <c r="E3" s="28">
        <f t="shared" ref="E3:E27" si="0">SUM(C3)-D3</f>
        <v>79</v>
      </c>
      <c r="F3" s="42">
        <v>38</v>
      </c>
      <c r="G3" s="28">
        <f t="shared" ref="G3:G27" si="1">SUM(C3)-F3</f>
        <v>60</v>
      </c>
      <c r="H3" s="7"/>
    </row>
    <row r="4" spans="2:8" x14ac:dyDescent="0.2">
      <c r="B4" s="5" t="s">
        <v>1</v>
      </c>
      <c r="C4" s="28">
        <v>86</v>
      </c>
      <c r="D4" s="42">
        <v>44</v>
      </c>
      <c r="E4" s="28">
        <f t="shared" si="0"/>
        <v>42</v>
      </c>
      <c r="F4" s="42">
        <v>59</v>
      </c>
      <c r="G4" s="28">
        <f t="shared" si="1"/>
        <v>27</v>
      </c>
      <c r="H4" s="7"/>
    </row>
    <row r="5" spans="2:8" x14ac:dyDescent="0.2">
      <c r="B5" s="5" t="s">
        <v>2</v>
      </c>
      <c r="C5" s="28">
        <v>321</v>
      </c>
      <c r="D5" s="42">
        <v>235</v>
      </c>
      <c r="E5" s="28">
        <f t="shared" si="0"/>
        <v>86</v>
      </c>
      <c r="F5" s="42">
        <v>287</v>
      </c>
      <c r="G5" s="28">
        <f t="shared" si="1"/>
        <v>34</v>
      </c>
      <c r="H5" s="7"/>
    </row>
    <row r="6" spans="2:8" x14ac:dyDescent="0.2">
      <c r="B6" s="5" t="s">
        <v>3</v>
      </c>
      <c r="C6" s="28">
        <v>164</v>
      </c>
      <c r="D6" s="42">
        <v>197</v>
      </c>
      <c r="E6" s="28">
        <f t="shared" si="0"/>
        <v>-33</v>
      </c>
      <c r="F6" s="42">
        <v>116</v>
      </c>
      <c r="G6" s="28">
        <f t="shared" si="1"/>
        <v>48</v>
      </c>
      <c r="H6" s="7"/>
    </row>
    <row r="7" spans="2:8" x14ac:dyDescent="0.2">
      <c r="B7" s="5" t="s">
        <v>4</v>
      </c>
      <c r="C7" s="28">
        <v>236</v>
      </c>
      <c r="D7" s="42">
        <v>207</v>
      </c>
      <c r="E7" s="28">
        <f t="shared" si="0"/>
        <v>29</v>
      </c>
      <c r="F7" s="42">
        <v>233</v>
      </c>
      <c r="G7" s="28">
        <f t="shared" si="1"/>
        <v>3</v>
      </c>
      <c r="H7" s="7"/>
    </row>
    <row r="8" spans="2:8" x14ac:dyDescent="0.2">
      <c r="B8" s="5" t="s">
        <v>5</v>
      </c>
      <c r="C8" s="28">
        <v>89</v>
      </c>
      <c r="D8" s="42">
        <v>79</v>
      </c>
      <c r="E8" s="28">
        <f t="shared" si="0"/>
        <v>10</v>
      </c>
      <c r="F8" s="42">
        <v>98</v>
      </c>
      <c r="G8" s="28">
        <f t="shared" si="1"/>
        <v>-9</v>
      </c>
      <c r="H8" s="7"/>
    </row>
    <row r="9" spans="2:8" x14ac:dyDescent="0.2">
      <c r="B9" s="9" t="s">
        <v>6</v>
      </c>
      <c r="C9" s="28">
        <v>108</v>
      </c>
      <c r="D9" s="42">
        <v>54</v>
      </c>
      <c r="E9" s="28">
        <f t="shared" si="0"/>
        <v>54</v>
      </c>
      <c r="F9" s="42">
        <v>70</v>
      </c>
      <c r="G9" s="28">
        <f t="shared" si="1"/>
        <v>38</v>
      </c>
      <c r="H9" s="7"/>
    </row>
    <row r="10" spans="2:8" x14ac:dyDescent="0.2">
      <c r="B10" s="5" t="s">
        <v>7</v>
      </c>
      <c r="C10" s="28">
        <v>30</v>
      </c>
      <c r="D10" s="42">
        <v>36</v>
      </c>
      <c r="E10" s="28">
        <f t="shared" si="0"/>
        <v>-6</v>
      </c>
      <c r="F10" s="42">
        <v>48</v>
      </c>
      <c r="G10" s="28">
        <f t="shared" si="1"/>
        <v>-18</v>
      </c>
      <c r="H10" s="7"/>
    </row>
    <row r="11" spans="2:8" x14ac:dyDescent="0.2">
      <c r="B11" s="5" t="s">
        <v>8</v>
      </c>
      <c r="C11" s="28">
        <v>106</v>
      </c>
      <c r="D11" s="42">
        <v>72</v>
      </c>
      <c r="E11" s="28">
        <f t="shared" si="0"/>
        <v>34</v>
      </c>
      <c r="F11" s="42">
        <v>102</v>
      </c>
      <c r="G11" s="28">
        <f t="shared" si="1"/>
        <v>4</v>
      </c>
      <c r="H11" s="7"/>
    </row>
    <row r="12" spans="2:8" x14ac:dyDescent="0.2">
      <c r="B12" s="5" t="s">
        <v>9</v>
      </c>
      <c r="C12" s="28">
        <v>67</v>
      </c>
      <c r="D12" s="42">
        <v>78</v>
      </c>
      <c r="E12" s="28">
        <f t="shared" si="0"/>
        <v>-11</v>
      </c>
      <c r="F12" s="42">
        <v>85</v>
      </c>
      <c r="G12" s="28">
        <f t="shared" si="1"/>
        <v>-18</v>
      </c>
      <c r="H12" s="7"/>
    </row>
    <row r="13" spans="2:8" x14ac:dyDescent="0.2">
      <c r="B13" s="5" t="s">
        <v>10</v>
      </c>
      <c r="C13" s="28">
        <v>36</v>
      </c>
      <c r="D13" s="42">
        <v>51</v>
      </c>
      <c r="E13" s="28">
        <f t="shared" si="0"/>
        <v>-15</v>
      </c>
      <c r="F13" s="42">
        <v>83</v>
      </c>
      <c r="G13" s="28">
        <f t="shared" si="1"/>
        <v>-47</v>
      </c>
      <c r="H13" s="7"/>
    </row>
    <row r="14" spans="2:8" x14ac:dyDescent="0.2">
      <c r="B14" s="5" t="s">
        <v>11</v>
      </c>
      <c r="C14" s="28">
        <v>314</v>
      </c>
      <c r="D14" s="42">
        <v>274</v>
      </c>
      <c r="E14" s="28">
        <f t="shared" si="0"/>
        <v>40</v>
      </c>
      <c r="F14" s="42">
        <v>312</v>
      </c>
      <c r="G14" s="28">
        <f t="shared" si="1"/>
        <v>2</v>
      </c>
      <c r="H14" s="7"/>
    </row>
    <row r="15" spans="2:8" x14ac:dyDescent="0.2">
      <c r="B15" s="5" t="s">
        <v>12</v>
      </c>
      <c r="C15" s="28">
        <v>63</v>
      </c>
      <c r="D15" s="42">
        <v>59</v>
      </c>
      <c r="E15" s="28">
        <f t="shared" si="0"/>
        <v>4</v>
      </c>
      <c r="F15" s="42">
        <v>86</v>
      </c>
      <c r="G15" s="28">
        <f t="shared" si="1"/>
        <v>-23</v>
      </c>
      <c r="H15" s="7"/>
    </row>
    <row r="16" spans="2:8" x14ac:dyDescent="0.2">
      <c r="B16" s="5" t="s">
        <v>13</v>
      </c>
      <c r="C16" s="28">
        <v>15</v>
      </c>
      <c r="D16" s="42">
        <v>18</v>
      </c>
      <c r="E16" s="28">
        <f t="shared" si="0"/>
        <v>-3</v>
      </c>
      <c r="F16" s="42">
        <v>35</v>
      </c>
      <c r="G16" s="28">
        <f t="shared" si="1"/>
        <v>-20</v>
      </c>
      <c r="H16" s="7"/>
    </row>
    <row r="17" spans="2:8" x14ac:dyDescent="0.2">
      <c r="B17" s="5" t="s">
        <v>14</v>
      </c>
      <c r="C17" s="28">
        <v>192</v>
      </c>
      <c r="D17" s="42">
        <v>211</v>
      </c>
      <c r="E17" s="28">
        <f t="shared" si="0"/>
        <v>-19</v>
      </c>
      <c r="F17" s="42">
        <v>168</v>
      </c>
      <c r="G17" s="28">
        <f t="shared" si="1"/>
        <v>24</v>
      </c>
      <c r="H17" s="7"/>
    </row>
    <row r="18" spans="2:8" x14ac:dyDescent="0.2">
      <c r="B18" s="5" t="s">
        <v>15</v>
      </c>
      <c r="C18" s="28">
        <v>101</v>
      </c>
      <c r="D18" s="42">
        <v>115</v>
      </c>
      <c r="E18" s="28">
        <f t="shared" si="0"/>
        <v>-14</v>
      </c>
      <c r="F18" s="42">
        <v>137</v>
      </c>
      <c r="G18" s="28">
        <f t="shared" si="1"/>
        <v>-36</v>
      </c>
      <c r="H18" s="7"/>
    </row>
    <row r="19" spans="2:8" x14ac:dyDescent="0.2">
      <c r="B19" s="5" t="s">
        <v>16</v>
      </c>
      <c r="C19" s="28">
        <v>122</v>
      </c>
      <c r="D19" s="42">
        <v>198</v>
      </c>
      <c r="E19" s="28">
        <f t="shared" si="0"/>
        <v>-76</v>
      </c>
      <c r="F19" s="42">
        <v>184</v>
      </c>
      <c r="G19" s="28">
        <f t="shared" si="1"/>
        <v>-62</v>
      </c>
      <c r="H19" s="7"/>
    </row>
    <row r="20" spans="2:8" x14ac:dyDescent="0.2">
      <c r="B20" s="5" t="s">
        <v>17</v>
      </c>
      <c r="C20" s="28">
        <v>60</v>
      </c>
      <c r="D20" s="42">
        <v>60</v>
      </c>
      <c r="E20" s="28">
        <f t="shared" si="0"/>
        <v>0</v>
      </c>
      <c r="F20" s="42">
        <v>80</v>
      </c>
      <c r="G20" s="28">
        <f t="shared" si="1"/>
        <v>-20</v>
      </c>
      <c r="H20" s="7"/>
    </row>
    <row r="21" spans="2:8" x14ac:dyDescent="0.2">
      <c r="B21" s="5" t="s">
        <v>18</v>
      </c>
      <c r="C21" s="28">
        <v>81</v>
      </c>
      <c r="D21" s="42">
        <v>77</v>
      </c>
      <c r="E21" s="28">
        <f t="shared" si="0"/>
        <v>4</v>
      </c>
      <c r="F21" s="42">
        <v>152</v>
      </c>
      <c r="G21" s="28">
        <f t="shared" si="1"/>
        <v>-71</v>
      </c>
      <c r="H21" s="7"/>
    </row>
    <row r="22" spans="2:8" x14ac:dyDescent="0.2">
      <c r="B22" s="5" t="s">
        <v>19</v>
      </c>
      <c r="C22" s="28">
        <v>227</v>
      </c>
      <c r="D22" s="42">
        <v>108</v>
      </c>
      <c r="E22" s="28">
        <f t="shared" si="0"/>
        <v>119</v>
      </c>
      <c r="F22" s="42">
        <v>192</v>
      </c>
      <c r="G22" s="28">
        <f t="shared" si="1"/>
        <v>35</v>
      </c>
      <c r="H22" s="7"/>
    </row>
    <row r="23" spans="2:8" x14ac:dyDescent="0.2">
      <c r="B23" s="5" t="s">
        <v>20</v>
      </c>
      <c r="C23" s="28">
        <v>90</v>
      </c>
      <c r="D23" s="42">
        <v>46</v>
      </c>
      <c r="E23" s="28">
        <f t="shared" si="0"/>
        <v>44</v>
      </c>
      <c r="F23" s="42">
        <v>116</v>
      </c>
      <c r="G23" s="28">
        <f t="shared" si="1"/>
        <v>-26</v>
      </c>
      <c r="H23" s="7"/>
    </row>
    <row r="24" spans="2:8" x14ac:dyDescent="0.2">
      <c r="B24" s="5" t="s">
        <v>21</v>
      </c>
      <c r="C24" s="28">
        <v>61</v>
      </c>
      <c r="D24" s="42">
        <v>60</v>
      </c>
      <c r="E24" s="28">
        <f t="shared" si="0"/>
        <v>1</v>
      </c>
      <c r="F24" s="42">
        <v>72</v>
      </c>
      <c r="G24" s="28">
        <f t="shared" si="1"/>
        <v>-11</v>
      </c>
      <c r="H24" s="7"/>
    </row>
    <row r="25" spans="2:8" x14ac:dyDescent="0.2">
      <c r="B25" s="5" t="s">
        <v>22</v>
      </c>
      <c r="C25" s="28">
        <v>94</v>
      </c>
      <c r="D25" s="42">
        <v>89</v>
      </c>
      <c r="E25" s="28">
        <f t="shared" si="0"/>
        <v>5</v>
      </c>
      <c r="F25" s="42">
        <v>63</v>
      </c>
      <c r="G25" s="28">
        <f t="shared" si="1"/>
        <v>31</v>
      </c>
      <c r="H25" s="7"/>
    </row>
    <row r="26" spans="2:8" x14ac:dyDescent="0.2">
      <c r="B26" s="5" t="s">
        <v>23</v>
      </c>
      <c r="C26" s="28">
        <v>496</v>
      </c>
      <c r="D26" s="42">
        <v>644</v>
      </c>
      <c r="E26" s="28">
        <f t="shared" si="0"/>
        <v>-148</v>
      </c>
      <c r="F26" s="42">
        <v>728</v>
      </c>
      <c r="G26" s="28">
        <f t="shared" si="1"/>
        <v>-232</v>
      </c>
      <c r="H26" s="7"/>
    </row>
    <row r="27" spans="2:8" x14ac:dyDescent="0.2">
      <c r="B27" s="5" t="s">
        <v>24</v>
      </c>
      <c r="C27" s="28">
        <v>56</v>
      </c>
      <c r="D27" s="42">
        <v>66</v>
      </c>
      <c r="E27" s="28">
        <f t="shared" si="0"/>
        <v>-10</v>
      </c>
      <c r="F27" s="42">
        <v>89</v>
      </c>
      <c r="G27" s="28">
        <f t="shared" si="1"/>
        <v>-33</v>
      </c>
      <c r="H27" s="7"/>
    </row>
    <row r="28" spans="2:8" ht="17.25" customHeight="1" x14ac:dyDescent="0.25">
      <c r="B28" s="39" t="s">
        <v>25</v>
      </c>
      <c r="C28" s="48">
        <f>SUM(C3:C27)</f>
        <v>3313</v>
      </c>
      <c r="D28" s="44">
        <f>SUM(D3:D27)</f>
        <v>3097</v>
      </c>
      <c r="E28" s="48">
        <f>SUM(E3:E27)</f>
        <v>216</v>
      </c>
      <c r="F28" s="44">
        <f>SUM(F3:F27)</f>
        <v>3633</v>
      </c>
      <c r="G28" s="48">
        <f>SUM(G3:G27)</f>
        <v>-320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08-'24 r.</v>
      </c>
      <c r="E3" s="36" t="str">
        <f>T('7oferty p.'!D2)</f>
        <v>liczba ofert w 07-'24 r.</v>
      </c>
      <c r="F3" s="36" t="str">
        <f>T('7oferty p.'!E2)</f>
        <v>wzrost/spadek do poprzedniego  miesiąca</v>
      </c>
      <c r="G3" s="36" t="str">
        <f>T('7oferty p.'!F2)</f>
        <v>liczba ofert w 08-'23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14</v>
      </c>
      <c r="C4" s="5" t="str">
        <f>INDEX('7oferty p.'!B3:G28,MATCH(1,B4:B29,0),1)</f>
        <v>przemyski</v>
      </c>
      <c r="D4" s="24">
        <f>INDEX('7oferty p.'!B3:G28,MATCH(1,B4:B29,0),2)</f>
        <v>15</v>
      </c>
      <c r="E4" s="42">
        <f>INDEX('7oferty p.'!B3:G28,MATCH(1,B4:B29,0),3)</f>
        <v>18</v>
      </c>
      <c r="F4" s="6">
        <f>INDEX('7oferty p.'!B3:G28,MATCH(1,B4:B29,0),4)</f>
        <v>-3</v>
      </c>
      <c r="G4" s="42">
        <f>INDEX('7oferty p.'!B3:G28,MATCH(1,B4:B29,0),5)</f>
        <v>35</v>
      </c>
      <c r="H4" s="6">
        <f>INDEX('7oferty p.'!B3:G28,MATCH(1,B4:B29,0),6)</f>
        <v>-20</v>
      </c>
    </row>
    <row r="5" spans="2:8" x14ac:dyDescent="0.2">
      <c r="B5" s="6">
        <f>RANK('7oferty p.'!C4,'7oferty p.'!$C$3:'7oferty p.'!$C$28,1)+COUNTIF('7oferty p.'!$C$3:'7oferty p.'!C4,'7oferty p.'!C4)-1</f>
        <v>10</v>
      </c>
      <c r="C5" s="5" t="str">
        <f>INDEX('7oferty p.'!B3:G28,MATCH(2,B4:B29,0),1)</f>
        <v>leski</v>
      </c>
      <c r="D5" s="6">
        <f>INDEX('7oferty p.'!B3:G28,MATCH(2,B4:B29,0),2)</f>
        <v>30</v>
      </c>
      <c r="E5" s="42">
        <f>INDEX('7oferty p.'!B3:G28,MATCH(2,B4:B29,0),3)</f>
        <v>36</v>
      </c>
      <c r="F5" s="6">
        <f>INDEX('7oferty p.'!B3:G28,MATCH(2,B4:B29,0),4)</f>
        <v>-6</v>
      </c>
      <c r="G5" s="42">
        <f>INDEX('7oferty p.'!B3:G28,MATCH(2,B4:B29,0),5)</f>
        <v>48</v>
      </c>
      <c r="H5" s="6">
        <f>INDEX('7oferty p.'!B3:G28,MATCH(2,B4:B29,0),6)</f>
        <v>-18</v>
      </c>
    </row>
    <row r="6" spans="2:8" x14ac:dyDescent="0.2">
      <c r="B6" s="6">
        <f>RANK('7oferty p.'!C5,'7oferty p.'!$C$3:'7oferty p.'!$C$28,1)+COUNTIF('7oferty p.'!$C$3:'7oferty p.'!C5,'7oferty p.'!C5)-1</f>
        <v>24</v>
      </c>
      <c r="C6" s="5" t="str">
        <f>INDEX('7oferty p.'!B3:G28,MATCH(3,B4:B29,0),1)</f>
        <v>łańcucki</v>
      </c>
      <c r="D6" s="6">
        <f>INDEX('7oferty p.'!B3:G28,MATCH(3,B4:B29,0),2)</f>
        <v>36</v>
      </c>
      <c r="E6" s="42">
        <f>INDEX('7oferty p.'!B3:G28,MATCH(3,B4:B29,0),3)</f>
        <v>51</v>
      </c>
      <c r="F6" s="6">
        <f>INDEX('7oferty p.'!B3:G28,MATCH(3,B4:B29,0),4)</f>
        <v>-15</v>
      </c>
      <c r="G6" s="42">
        <f>INDEX('7oferty p.'!B3:G28,MATCH(3,B4:B29,0),5)</f>
        <v>83</v>
      </c>
      <c r="H6" s="6">
        <f>INDEX('7oferty p.'!B3:G28,MATCH(3,B4:B29,0),6)</f>
        <v>-47</v>
      </c>
    </row>
    <row r="7" spans="2:8" x14ac:dyDescent="0.2">
      <c r="B7" s="6">
        <f>RANK('7oferty p.'!C6,'7oferty p.'!$C$3:'7oferty p.'!$C$28,1)+COUNTIF('7oferty p.'!$C$3:'7oferty p.'!C6,'7oferty p.'!C6)-1</f>
        <v>19</v>
      </c>
      <c r="C7" s="5" t="str">
        <f>INDEX('7oferty p.'!B3:G28,MATCH(4,B4:B29,0),1)</f>
        <v>Tarnobrzeg</v>
      </c>
      <c r="D7" s="6">
        <f>INDEX('7oferty p.'!B3:G28,MATCH(4,B4:B29,0),2)</f>
        <v>56</v>
      </c>
      <c r="E7" s="42">
        <f>INDEX('7oferty p.'!B3:G28,MATCH(4,B4:B29,0),3)</f>
        <v>66</v>
      </c>
      <c r="F7" s="6">
        <f>INDEX('7oferty p.'!B3:G28,MATCH(4,B4:B29,0),4)</f>
        <v>-10</v>
      </c>
      <c r="G7" s="42">
        <f>INDEX('7oferty p.'!B3:G28,MATCH(4,B4:B29,0),5)</f>
        <v>89</v>
      </c>
      <c r="H7" s="6">
        <f>INDEX('7oferty p.'!B3:G28,MATCH(4,B4:B29,0),6)</f>
        <v>-33</v>
      </c>
    </row>
    <row r="8" spans="2:8" x14ac:dyDescent="0.2">
      <c r="B8" s="6">
        <f>RANK('7oferty p.'!C7,'7oferty p.'!$C$3:'7oferty p.'!$C$28,1)+COUNTIF('7oferty p.'!$C$3:'7oferty p.'!C7,'7oferty p.'!C7)-1</f>
        <v>22</v>
      </c>
      <c r="C8" s="5" t="str">
        <f>INDEX('7oferty p.'!B3:G28,MATCH(5,B4:B29,0),1)</f>
        <v>sanocki</v>
      </c>
      <c r="D8" s="6">
        <f>INDEX('7oferty p.'!B3:G28,MATCH(5,B4:B29,0),2)</f>
        <v>60</v>
      </c>
      <c r="E8" s="42">
        <f>INDEX('7oferty p.'!B3:G28,MATCH(5,B4:B29,0),3)</f>
        <v>60</v>
      </c>
      <c r="F8" s="6">
        <f>INDEX('7oferty p.'!B3:G28,MATCH(5,B4:B29,0),4)</f>
        <v>0</v>
      </c>
      <c r="G8" s="42">
        <f>INDEX('7oferty p.'!B3:G28,MATCH(5,B4:B29,0),5)</f>
        <v>80</v>
      </c>
      <c r="H8" s="6">
        <f>INDEX('7oferty p.'!B3:G28,MATCH(5,B4:B29,0),6)</f>
        <v>-20</v>
      </c>
    </row>
    <row r="9" spans="2:8" x14ac:dyDescent="0.2">
      <c r="B9" s="6">
        <f>RANK('7oferty p.'!C8,'7oferty p.'!$C$3:'7oferty p.'!$C$28,1)+COUNTIF('7oferty p.'!$C$3:'7oferty p.'!C8,'7oferty p.'!C8)-1</f>
        <v>11</v>
      </c>
      <c r="C9" s="5" t="str">
        <f>INDEX('7oferty p.'!B3:G28,MATCH(6,B4:B29,0),1)</f>
        <v>Krosno</v>
      </c>
      <c r="D9" s="6">
        <f>INDEX('7oferty p.'!B3:G28,MATCH(6,B4:B29,0),2)</f>
        <v>61</v>
      </c>
      <c r="E9" s="42">
        <f>INDEX('7oferty p.'!B3:G28,MATCH(6,B4:B29,0),3)</f>
        <v>60</v>
      </c>
      <c r="F9" s="6">
        <f>INDEX('7oferty p.'!B3:G28,MATCH(6,B4:B29,0),4)</f>
        <v>1</v>
      </c>
      <c r="G9" s="42">
        <f>INDEX('7oferty p.'!B3:G28,MATCH(6,B4:B29,0),5)</f>
        <v>72</v>
      </c>
      <c r="H9" s="6">
        <f>INDEX('7oferty p.'!B3:G28,MATCH(6,B4:B29,0),6)</f>
        <v>-11</v>
      </c>
    </row>
    <row r="10" spans="2:8" x14ac:dyDescent="0.2">
      <c r="B10" s="6">
        <f>RANK('7oferty p.'!C9,'7oferty p.'!$C$3:'7oferty p.'!$C$28,1)+COUNTIF('7oferty p.'!$C$3:'7oferty p.'!C9,'7oferty p.'!C9)-1</f>
        <v>17</v>
      </c>
      <c r="C10" s="9" t="str">
        <f>INDEX('7oferty p.'!B3:G28,MATCH(7,B4:B29,0),1)</f>
        <v>niżański</v>
      </c>
      <c r="D10" s="6">
        <f>INDEX('7oferty p.'!B3:G28,MATCH(7,B4:B29,0),2)</f>
        <v>63</v>
      </c>
      <c r="E10" s="42">
        <f>INDEX('7oferty p.'!B3:G28,MATCH(7,B4:B29,0),3)</f>
        <v>59</v>
      </c>
      <c r="F10" s="6">
        <f>INDEX('7oferty p.'!B3:G28,MATCH(7,B4:B29,0),4)</f>
        <v>4</v>
      </c>
      <c r="G10" s="42">
        <f>INDEX('7oferty p.'!B3:G28,MATCH(7,B4:B29,0),5)</f>
        <v>86</v>
      </c>
      <c r="H10" s="6">
        <f>INDEX('7oferty p.'!B3:G28,MATCH(7,B4:B29,0),6)</f>
        <v>-23</v>
      </c>
    </row>
    <row r="11" spans="2:8" x14ac:dyDescent="0.2">
      <c r="B11" s="6">
        <f>RANK('7oferty p.'!C10,'7oferty p.'!$C$3:'7oferty p.'!$C$28,1)+COUNTIF('7oferty p.'!$C$3:'7oferty p.'!C10,'7oferty p.'!C10)-1</f>
        <v>2</v>
      </c>
      <c r="C11" s="5" t="str">
        <f>INDEX('7oferty p.'!B3:G28,MATCH(8,B4:B29,0),1)</f>
        <v>lubaczowski</v>
      </c>
      <c r="D11" s="6">
        <f>INDEX('7oferty p.'!B3:G28,MATCH(8,B4:B29,0),2)</f>
        <v>67</v>
      </c>
      <c r="E11" s="42">
        <f>INDEX('7oferty p.'!B3:G28,MATCH(8,B4:B29,0),3)</f>
        <v>78</v>
      </c>
      <c r="F11" s="6">
        <f>INDEX('7oferty p.'!B3:G28,MATCH(8,B4:B29,0),4)</f>
        <v>-11</v>
      </c>
      <c r="G11" s="42">
        <f>INDEX('7oferty p.'!B3:G28,MATCH(8,B4:B29,0),5)</f>
        <v>85</v>
      </c>
      <c r="H11" s="6">
        <f>INDEX('7oferty p.'!B3:G28,MATCH(8,B4:B29,0),6)</f>
        <v>-18</v>
      </c>
    </row>
    <row r="12" spans="2:8" x14ac:dyDescent="0.2">
      <c r="B12" s="6">
        <f>RANK('7oferty p.'!C11,'7oferty p.'!$C$3:'7oferty p.'!$C$28,1)+COUNTIF('7oferty p.'!$C$3:'7oferty p.'!C11,'7oferty p.'!C11)-1</f>
        <v>16</v>
      </c>
      <c r="C12" s="5" t="str">
        <f>INDEX('7oferty p.'!B3:G28,MATCH(9,B4:B29,0),1)</f>
        <v>stalowowolski</v>
      </c>
      <c r="D12" s="6">
        <f>INDEX('7oferty p.'!B3:G28,MATCH(9,B4:B29,0),2)</f>
        <v>81</v>
      </c>
      <c r="E12" s="42">
        <f>INDEX('7oferty p.'!B3:G28,MATCH(9,B4:B29,0),3)</f>
        <v>77</v>
      </c>
      <c r="F12" s="6">
        <f>INDEX('7oferty p.'!B3:G28,MATCH(9,B4:B29,0),4)</f>
        <v>4</v>
      </c>
      <c r="G12" s="42">
        <f>INDEX('7oferty p.'!B3:G28,MATCH(9,B4:B29,0),5)</f>
        <v>152</v>
      </c>
      <c r="H12" s="6">
        <f>INDEX('7oferty p.'!B3:G28,MATCH(9,B4:B29,0),6)</f>
        <v>-71</v>
      </c>
    </row>
    <row r="13" spans="2:8" x14ac:dyDescent="0.2">
      <c r="B13" s="6">
        <f>RANK('7oferty p.'!C12,'7oferty p.'!$C$3:'7oferty p.'!$C$28,1)+COUNTIF('7oferty p.'!$C$3:'7oferty p.'!C12,'7oferty p.'!C12)-1</f>
        <v>8</v>
      </c>
      <c r="C13" s="5" t="str">
        <f>INDEX('7oferty p.'!B3:G28,MATCH(10,B4:B29,0),1)</f>
        <v>brzozowski</v>
      </c>
      <c r="D13" s="6">
        <f>INDEX('7oferty p.'!B3:G28,MATCH(10,B4:B29,0),2)</f>
        <v>86</v>
      </c>
      <c r="E13" s="42">
        <f>INDEX('7oferty p.'!B3:G28,MATCH(10,B4:B29,0),3)</f>
        <v>44</v>
      </c>
      <c r="F13" s="6">
        <f>INDEX('7oferty p.'!B3:G28,MATCH(10,B4:B29,0),4)</f>
        <v>42</v>
      </c>
      <c r="G13" s="42">
        <f>INDEX('7oferty p.'!B3:G28,MATCH(10,B4:B29,0),5)</f>
        <v>59</v>
      </c>
      <c r="H13" s="6">
        <f>INDEX('7oferty p.'!B3:G28,MATCH(10,B4:B29,0),6)</f>
        <v>27</v>
      </c>
    </row>
    <row r="14" spans="2:8" x14ac:dyDescent="0.2">
      <c r="B14" s="6">
        <f>RANK('7oferty p.'!C13,'7oferty p.'!$C$3:'7oferty p.'!$C$28,1)+COUNTIF('7oferty p.'!$C$3:'7oferty p.'!C13,'7oferty p.'!C13)-1</f>
        <v>3</v>
      </c>
      <c r="C14" s="5" t="str">
        <f>INDEX('7oferty p.'!B3:G28,MATCH(11,B4:B29,0),1)</f>
        <v>kolbuszowski</v>
      </c>
      <c r="D14" s="6">
        <f>INDEX('7oferty p.'!B3:G28,MATCH(11,B4:B29,0),2)</f>
        <v>89</v>
      </c>
      <c r="E14" s="42">
        <f>INDEX('7oferty p.'!B3:G28,MATCH(11,B4:B29,0),3)</f>
        <v>79</v>
      </c>
      <c r="F14" s="6">
        <f>INDEX('7oferty p.'!B3:G28,MATCH(11,B4:B29,0),4)</f>
        <v>10</v>
      </c>
      <c r="G14" s="42">
        <f>INDEX('7oferty p.'!B3:G28,MATCH(11,B4:B29,0),5)</f>
        <v>98</v>
      </c>
      <c r="H14" s="6">
        <f>INDEX('7oferty p.'!B3:G28,MATCH(11,B4:B29,0),6)</f>
        <v>-9</v>
      </c>
    </row>
    <row r="15" spans="2:8" x14ac:dyDescent="0.2">
      <c r="B15" s="6">
        <f>RANK('7oferty p.'!C14,'7oferty p.'!$C$3:'7oferty p.'!$C$28,1)+COUNTIF('7oferty p.'!$C$3:'7oferty p.'!C14,'7oferty p.'!C14)-1</f>
        <v>23</v>
      </c>
      <c r="C15" s="5" t="str">
        <f>INDEX('7oferty p.'!B3:G28,MATCH(12,B4:B29,0),1)</f>
        <v xml:space="preserve">tarnobrzeski </v>
      </c>
      <c r="D15" s="6">
        <f>INDEX('7oferty p.'!B3:G28,MATCH(12,B4:B29,0),2)</f>
        <v>90</v>
      </c>
      <c r="E15" s="42">
        <f>INDEX('7oferty p.'!B3:G28,MATCH(12,B4:B29,0),3)</f>
        <v>46</v>
      </c>
      <c r="F15" s="6">
        <f>INDEX('7oferty p.'!B3:G28,MATCH(12,B4:B29,0),4)</f>
        <v>44</v>
      </c>
      <c r="G15" s="42">
        <f>INDEX('7oferty p.'!B3:G28,MATCH(12,B4:B29,0),5)</f>
        <v>116</v>
      </c>
      <c r="H15" s="6">
        <f>INDEX('7oferty p.'!B3:G28,MATCH(12,B4:B29,0),6)</f>
        <v>-26</v>
      </c>
    </row>
    <row r="16" spans="2:8" x14ac:dyDescent="0.2">
      <c r="B16" s="6">
        <f>RANK('7oferty p.'!C15,'7oferty p.'!$C$3:'7oferty p.'!$C$28,1)+COUNTIF('7oferty p.'!$C$3:'7oferty p.'!C15,'7oferty p.'!C15)-1</f>
        <v>7</v>
      </c>
      <c r="C16" s="5" t="str">
        <f>INDEX('7oferty p.'!B3:G28,MATCH(13,B4:B29,0),1)</f>
        <v>Przemyśl</v>
      </c>
      <c r="D16" s="6">
        <f>INDEX('7oferty p.'!B3:G28,MATCH(13,B4:B29,0),2)</f>
        <v>94</v>
      </c>
      <c r="E16" s="42">
        <f>INDEX('7oferty p.'!B3:G28,MATCH(13,B4:B29,0),3)</f>
        <v>89</v>
      </c>
      <c r="F16" s="6">
        <f>INDEX('7oferty p.'!B3:G28,MATCH(13,B4:B29,0),4)</f>
        <v>5</v>
      </c>
      <c r="G16" s="42">
        <f>INDEX('7oferty p.'!B3:G28,MATCH(13,B4:B29,0),5)</f>
        <v>63</v>
      </c>
      <c r="H16" s="6">
        <f>INDEX('7oferty p.'!B3:G28,MATCH(13,B4:B29,0),6)</f>
        <v>31</v>
      </c>
    </row>
    <row r="17" spans="2:8" x14ac:dyDescent="0.2">
      <c r="B17" s="6">
        <f>RANK('7oferty p.'!C16,'7oferty p.'!$C$3:'7oferty p.'!$C$28,1)+COUNTIF('7oferty p.'!$C$3:'7oferty p.'!C16,'7oferty p.'!C16)-1</f>
        <v>1</v>
      </c>
      <c r="C17" s="5" t="str">
        <f>INDEX('7oferty p.'!B3:G28,MATCH(14,B4:B29,0),1)</f>
        <v>bieszczadzki</v>
      </c>
      <c r="D17" s="6">
        <f>INDEX('7oferty p.'!B3:G28,MATCH(14,B4:B29,0),2)</f>
        <v>98</v>
      </c>
      <c r="E17" s="42">
        <f>INDEX('7oferty p.'!B3:G28,MATCH(14,B4:B29,0),3)</f>
        <v>19</v>
      </c>
      <c r="F17" s="6">
        <f>INDEX('7oferty p.'!B3:G28,MATCH(14,B4:B29,0),4)</f>
        <v>79</v>
      </c>
      <c r="G17" s="42">
        <f>INDEX('7oferty p.'!B3:G28,MATCH(14,B4:B29,0),5)</f>
        <v>38</v>
      </c>
      <c r="H17" s="6">
        <f>INDEX('7oferty p.'!B3:G28,MATCH(14,B4:B29,0),6)</f>
        <v>60</v>
      </c>
    </row>
    <row r="18" spans="2:8" x14ac:dyDescent="0.2">
      <c r="B18" s="6">
        <f>RANK('7oferty p.'!C17,'7oferty p.'!$C$3:'7oferty p.'!$C$28,1)+COUNTIF('7oferty p.'!$C$3:'7oferty p.'!C17,'7oferty p.'!C17)-1</f>
        <v>20</v>
      </c>
      <c r="C18" s="5" t="str">
        <f>INDEX('7oferty p.'!B3:G28,MATCH(15,B4:B29,0),1)</f>
        <v>ropczycko-sędziszowski</v>
      </c>
      <c r="D18" s="6">
        <f>INDEX('7oferty p.'!B3:G28,MATCH(15,B4:B29,0),2)</f>
        <v>101</v>
      </c>
      <c r="E18" s="42">
        <f>INDEX('7oferty p.'!B3:G28,MATCH(15,B4:B29,0),3)</f>
        <v>115</v>
      </c>
      <c r="F18" s="6">
        <f>INDEX('7oferty p.'!B3:G28,MATCH(15,B4:B29,0),4)</f>
        <v>-14</v>
      </c>
      <c r="G18" s="42">
        <f>INDEX('7oferty p.'!B3:G28,MATCH(15,B4:B29,0),5)</f>
        <v>137</v>
      </c>
      <c r="H18" s="6">
        <f>INDEX('7oferty p.'!B3:G28,MATCH(15,B4:B29,0),6)</f>
        <v>-36</v>
      </c>
    </row>
    <row r="19" spans="2:8" x14ac:dyDescent="0.2">
      <c r="B19" s="6">
        <f>RANK('7oferty p.'!C18,'7oferty p.'!$C$3:'7oferty p.'!$C$28,1)+COUNTIF('7oferty p.'!$C$3:'7oferty p.'!C18,'7oferty p.'!C18)-1</f>
        <v>15</v>
      </c>
      <c r="C19" s="5" t="str">
        <f>INDEX('7oferty p.'!B3:G28,MATCH(16,B4:B29,0),1)</f>
        <v>leżajski</v>
      </c>
      <c r="D19" s="6">
        <f>INDEX('7oferty p.'!B3:G28,MATCH(16,B4:B29,0),2)</f>
        <v>106</v>
      </c>
      <c r="E19" s="42">
        <f>INDEX('7oferty p.'!B3:G28,MATCH(16,B4:B29,0),3)</f>
        <v>72</v>
      </c>
      <c r="F19" s="6">
        <f>INDEX('7oferty p.'!B3:G28,MATCH(16,B4:B29,0),4)</f>
        <v>34</v>
      </c>
      <c r="G19" s="42">
        <f>INDEX('7oferty p.'!B3:G28,MATCH(16,B4:B29,0),5)</f>
        <v>102</v>
      </c>
      <c r="H19" s="6">
        <f>INDEX('7oferty p.'!B3:G28,MATCH(16,B4:B29,0),6)</f>
        <v>4</v>
      </c>
    </row>
    <row r="20" spans="2:8" x14ac:dyDescent="0.2">
      <c r="B20" s="6">
        <f>RANK('7oferty p.'!C19,'7oferty p.'!$C$3:'7oferty p.'!$C$28,1)+COUNTIF('7oferty p.'!$C$3:'7oferty p.'!C19,'7oferty p.'!C19)-1</f>
        <v>18</v>
      </c>
      <c r="C20" s="5" t="str">
        <f>INDEX('7oferty p.'!B3:G28,MATCH(17,B4:B29,0),1)</f>
        <v>krośnieński</v>
      </c>
      <c r="D20" s="6">
        <f>INDEX('7oferty p.'!B3:G28,MATCH(17,B4:B29,0),2)</f>
        <v>108</v>
      </c>
      <c r="E20" s="42">
        <f>INDEX('7oferty p.'!B3:G28,MATCH(17,B4:B29,0),3)</f>
        <v>54</v>
      </c>
      <c r="F20" s="6">
        <f>INDEX('7oferty p.'!B3:G28,MATCH(17,B4:B29,0),4)</f>
        <v>54</v>
      </c>
      <c r="G20" s="42">
        <f>INDEX('7oferty p.'!B3:G28,MATCH(17,B4:B29,0),5)</f>
        <v>70</v>
      </c>
      <c r="H20" s="6">
        <f>INDEX('7oferty p.'!B3:G28,MATCH(17,B4:B29,0),6)</f>
        <v>38</v>
      </c>
    </row>
    <row r="21" spans="2:8" x14ac:dyDescent="0.2">
      <c r="B21" s="6">
        <f>RANK('7oferty p.'!C20,'7oferty p.'!$C$3:'7oferty p.'!$C$28,1)+COUNTIF('7oferty p.'!$C$3:'7oferty p.'!C20,'7oferty p.'!C20)-1</f>
        <v>5</v>
      </c>
      <c r="C21" s="5" t="str">
        <f>INDEX('7oferty p.'!B3:G28,MATCH(18,B4:B29,0),1)</f>
        <v>rzeszowski</v>
      </c>
      <c r="D21" s="6">
        <f>INDEX('7oferty p.'!B3:G28,MATCH(18,B4:B29,0),2)</f>
        <v>122</v>
      </c>
      <c r="E21" s="42">
        <f>INDEX('7oferty p.'!B3:G28,MATCH(18,B4:B29,0),3)</f>
        <v>198</v>
      </c>
      <c r="F21" s="6">
        <f>INDEX('7oferty p.'!B3:G28,MATCH(18,B4:B29,0),4)</f>
        <v>-76</v>
      </c>
      <c r="G21" s="42">
        <f>INDEX('7oferty p.'!B3:G28,MATCH(18,B4:B29,0),5)</f>
        <v>184</v>
      </c>
      <c r="H21" s="6">
        <f>INDEX('7oferty p.'!B3:G28,MATCH(18,B4:B29,0),6)</f>
        <v>-62</v>
      </c>
    </row>
    <row r="22" spans="2:8" x14ac:dyDescent="0.2">
      <c r="B22" s="6">
        <f>RANK('7oferty p.'!C21,'7oferty p.'!$C$3:'7oferty p.'!$C$28,1)+COUNTIF('7oferty p.'!$C$3:'7oferty p.'!C21,'7oferty p.'!C21)-1</f>
        <v>9</v>
      </c>
      <c r="C22" s="5" t="str">
        <f>INDEX('7oferty p.'!B3:G28,MATCH(19,B4:B29,0),1)</f>
        <v>jarosławski</v>
      </c>
      <c r="D22" s="6">
        <f>INDEX('7oferty p.'!B3:G28,MATCH(19,B4:B29,0),2)</f>
        <v>164</v>
      </c>
      <c r="E22" s="42">
        <f>INDEX('7oferty p.'!B3:G28,MATCH(19,B4:B29,0),3)</f>
        <v>197</v>
      </c>
      <c r="F22" s="6">
        <f>INDEX('7oferty p.'!B3:G28,MATCH(19,B4:B29,0),4)</f>
        <v>-33</v>
      </c>
      <c r="G22" s="42">
        <f>INDEX('7oferty p.'!B3:G28,MATCH(19,B4:B29,0),5)</f>
        <v>116</v>
      </c>
      <c r="H22" s="6">
        <f>INDEX('7oferty p.'!B3:G28,MATCH(19,B4:B29,0),6)</f>
        <v>48</v>
      </c>
    </row>
    <row r="23" spans="2:8" x14ac:dyDescent="0.2">
      <c r="B23" s="6">
        <f>RANK('7oferty p.'!C22,'7oferty p.'!$C$3:'7oferty p.'!$C$28,1)+COUNTIF('7oferty p.'!$C$3:'7oferty p.'!C22,'7oferty p.'!C22)-1</f>
        <v>21</v>
      </c>
      <c r="C23" s="5" t="str">
        <f>INDEX('7oferty p.'!B3:G28,MATCH(20,B4:B29,0),1)</f>
        <v>przeworski</v>
      </c>
      <c r="D23" s="6">
        <f>INDEX('7oferty p.'!B3:G28,MATCH(20,B4:B29,0),2)</f>
        <v>192</v>
      </c>
      <c r="E23" s="42">
        <f>INDEX('7oferty p.'!B3:G28,MATCH(20,B4:B29,0),3)</f>
        <v>211</v>
      </c>
      <c r="F23" s="6">
        <f>INDEX('7oferty p.'!B3:G28,MATCH(20,B4:B29,0),4)</f>
        <v>-19</v>
      </c>
      <c r="G23" s="42">
        <f>INDEX('7oferty p.'!B3:G28,MATCH(20,B4:B29,0),5)</f>
        <v>168</v>
      </c>
      <c r="H23" s="6">
        <f>INDEX('7oferty p.'!B3:G28,MATCH(20,B4:B29,0),6)</f>
        <v>24</v>
      </c>
    </row>
    <row r="24" spans="2:8" x14ac:dyDescent="0.2">
      <c r="B24" s="6">
        <f>RANK('7oferty p.'!C23,'7oferty p.'!$C$3:'7oferty p.'!$C$28,1)+COUNTIF('7oferty p.'!$C$3:'7oferty p.'!C23,'7oferty p.'!C23)-1</f>
        <v>12</v>
      </c>
      <c r="C24" s="5" t="str">
        <f>INDEX('7oferty p.'!B3:G28,MATCH(21,B4:B29,0),1)</f>
        <v>strzyżowski</v>
      </c>
      <c r="D24" s="6">
        <f>INDEX('7oferty p.'!B3:G28,MATCH(21,B4:B29,0),2)</f>
        <v>227</v>
      </c>
      <c r="E24" s="42">
        <f>INDEX('7oferty p.'!B3:G28,MATCH(21,B4:B29,0),3)</f>
        <v>108</v>
      </c>
      <c r="F24" s="6">
        <f>INDEX('7oferty p.'!B3:G28,MATCH(21,B4:B29,0),4)</f>
        <v>119</v>
      </c>
      <c r="G24" s="42">
        <f>INDEX('7oferty p.'!B3:G28,MATCH(21,B4:B29,0),5)</f>
        <v>192</v>
      </c>
      <c r="H24" s="6">
        <f>INDEX('7oferty p.'!B3:G28,MATCH(21,B4:B29,0),6)</f>
        <v>35</v>
      </c>
    </row>
    <row r="25" spans="2:8" x14ac:dyDescent="0.2">
      <c r="B25" s="6">
        <f>RANK('7oferty p.'!C24,'7oferty p.'!$C$3:'7oferty p.'!$C$28,1)+COUNTIF('7oferty p.'!$C$3:'7oferty p.'!C24,'7oferty p.'!C24)-1</f>
        <v>6</v>
      </c>
      <c r="C25" s="5" t="str">
        <f>INDEX('7oferty p.'!B3:G28,MATCH(22,B4:B29,0),1)</f>
        <v>jasielski</v>
      </c>
      <c r="D25" s="6">
        <f>INDEX('7oferty p.'!B3:G28,MATCH(22,B4:B29,0),2)</f>
        <v>236</v>
      </c>
      <c r="E25" s="42">
        <f>INDEX('7oferty p.'!B3:G28,MATCH(22,B4:B29,0),3)</f>
        <v>207</v>
      </c>
      <c r="F25" s="6">
        <f>INDEX('7oferty p.'!B3:G28,MATCH(22,B4:B29,0),4)</f>
        <v>29</v>
      </c>
      <c r="G25" s="42">
        <f>INDEX('7oferty p.'!B3:G28,MATCH(22,B4:B29,0),5)</f>
        <v>233</v>
      </c>
      <c r="H25" s="6">
        <f>INDEX('7oferty p.'!B3:G28,MATCH(22,B4:B29,0),6)</f>
        <v>3</v>
      </c>
    </row>
    <row r="26" spans="2:8" x14ac:dyDescent="0.2">
      <c r="B26" s="6">
        <f>RANK('7oferty p.'!C25,'7oferty p.'!$C$3:'7oferty p.'!$C$28,1)+COUNTIF('7oferty p.'!$C$3:'7oferty p.'!C25,'7oferty p.'!C25)-1</f>
        <v>13</v>
      </c>
      <c r="C26" s="5" t="str">
        <f>INDEX('7oferty p.'!B3:G28,MATCH(23,B4:B29,0),1)</f>
        <v>mielecki</v>
      </c>
      <c r="D26" s="6">
        <f>INDEX('7oferty p.'!B3:G28,MATCH(23,B4:B29,0),2)</f>
        <v>314</v>
      </c>
      <c r="E26" s="42">
        <f>INDEX('7oferty p.'!B3:G28,MATCH(23,B4:B29,0),3)</f>
        <v>274</v>
      </c>
      <c r="F26" s="6">
        <f>INDEX('7oferty p.'!B3:G28,MATCH(23,B4:B29,0),4)</f>
        <v>40</v>
      </c>
      <c r="G26" s="42">
        <f>INDEX('7oferty p.'!B3:G28,MATCH(23,B4:B29,0),5)</f>
        <v>312</v>
      </c>
      <c r="H26" s="6">
        <f>INDEX('7oferty p.'!B3:G28,MATCH(23,B4:B29,0),6)</f>
        <v>2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dębicki</v>
      </c>
      <c r="D27" s="6">
        <f>INDEX('7oferty p.'!B3:G28,MATCH(24,B4:B29,0),2)</f>
        <v>321</v>
      </c>
      <c r="E27" s="42">
        <f>INDEX('7oferty p.'!B3:G28,MATCH(24,B4:B29,0),3)</f>
        <v>235</v>
      </c>
      <c r="F27" s="6">
        <f>INDEX('7oferty p.'!B3:G28,MATCH(24,B4:B29,0),4)</f>
        <v>86</v>
      </c>
      <c r="G27" s="42">
        <f>INDEX('7oferty p.'!B3:G28,MATCH(24,B4:B29,0),5)</f>
        <v>287</v>
      </c>
      <c r="H27" s="6">
        <f>INDEX('7oferty p.'!B3:G28,MATCH(24,B4:B29,0),6)</f>
        <v>34</v>
      </c>
    </row>
    <row r="28" spans="2:8" x14ac:dyDescent="0.2">
      <c r="B28" s="6">
        <f>RANK('7oferty p.'!C27,'7oferty p.'!$C$3:'7oferty p.'!$C$28,1)+COUNTIF('7oferty p.'!$C$3:'7oferty p.'!C27,'7oferty p.'!C27)-1</f>
        <v>4</v>
      </c>
      <c r="C28" s="5" t="str">
        <f>INDEX('7oferty p.'!B3:G28,MATCH(25,B4:B29,0),1)</f>
        <v>Rzeszów</v>
      </c>
      <c r="D28" s="6">
        <f>INDEX('7oferty p.'!B3:G28,MATCH(25,B4:B29,0),2)</f>
        <v>496</v>
      </c>
      <c r="E28" s="42">
        <f>INDEX('7oferty p.'!B3:G28,MATCH(25,B4:B29,0),3)</f>
        <v>644</v>
      </c>
      <c r="F28" s="6">
        <f>INDEX('7oferty p.'!B3:G28,MATCH(25,B4:B29,0),4)</f>
        <v>-148</v>
      </c>
      <c r="G28" s="42">
        <f>INDEX('7oferty p.'!B3:G28,MATCH(25,B4:B29,0),5)</f>
        <v>728</v>
      </c>
      <c r="H28" s="6">
        <f>INDEX('7oferty p.'!B3:G28,MATCH(25,B4:B29,0),6)</f>
        <v>-232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3313</v>
      </c>
      <c r="E29" s="44">
        <f>INDEX('7oferty p.'!B3:G28,MATCH(26,B4:B29,0),3)</f>
        <v>3097</v>
      </c>
      <c r="F29" s="40">
        <f>INDEX('7oferty p.'!B3:G28,MATCH(26,B4:B29,0),4)</f>
        <v>216</v>
      </c>
      <c r="G29" s="44">
        <f>INDEX('7oferty p.'!B3:G28,MATCH(26,B4:B29,0),5)</f>
        <v>3633</v>
      </c>
      <c r="H29" s="40">
        <f>INDEX('7oferty p.'!B3:G28,MATCH(26,B4:B29,0),6)</f>
        <v>-320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93</v>
      </c>
      <c r="D3" s="38" t="s">
        <v>74</v>
      </c>
      <c r="E3" s="37" t="s">
        <v>28</v>
      </c>
      <c r="F3" s="38" t="s">
        <v>92</v>
      </c>
      <c r="G3" s="37" t="s">
        <v>26</v>
      </c>
    </row>
    <row r="4" spans="2:11" x14ac:dyDescent="0.2">
      <c r="B4" s="5" t="s">
        <v>0</v>
      </c>
      <c r="C4" s="28">
        <v>6</v>
      </c>
      <c r="D4" s="42">
        <v>10</v>
      </c>
      <c r="E4" s="28">
        <f t="shared" ref="E4:E28" si="0">SUM(C4)-D4</f>
        <v>-4</v>
      </c>
      <c r="F4" s="42">
        <v>34</v>
      </c>
      <c r="G4" s="28">
        <f t="shared" ref="G4:G28" si="1">SUM(C4)-F4</f>
        <v>-28</v>
      </c>
      <c r="H4" s="7"/>
    </row>
    <row r="5" spans="2:11" x14ac:dyDescent="0.2">
      <c r="B5" s="5" t="s">
        <v>1</v>
      </c>
      <c r="C5" s="28">
        <v>75</v>
      </c>
      <c r="D5" s="42">
        <v>31</v>
      </c>
      <c r="E5" s="28">
        <f t="shared" si="0"/>
        <v>44</v>
      </c>
      <c r="F5" s="42">
        <v>51</v>
      </c>
      <c r="G5" s="28">
        <f t="shared" si="1"/>
        <v>24</v>
      </c>
      <c r="H5" s="7"/>
    </row>
    <row r="6" spans="2:11" x14ac:dyDescent="0.2">
      <c r="B6" s="5" t="s">
        <v>2</v>
      </c>
      <c r="C6" s="28">
        <v>75</v>
      </c>
      <c r="D6" s="42">
        <v>33</v>
      </c>
      <c r="E6" s="28">
        <f t="shared" si="0"/>
        <v>42</v>
      </c>
      <c r="F6" s="42">
        <v>69</v>
      </c>
      <c r="G6" s="28">
        <f t="shared" si="1"/>
        <v>6</v>
      </c>
      <c r="H6" s="7"/>
    </row>
    <row r="7" spans="2:11" x14ac:dyDescent="0.2">
      <c r="B7" s="5" t="s">
        <v>3</v>
      </c>
      <c r="C7" s="28">
        <v>48</v>
      </c>
      <c r="D7" s="42">
        <v>110</v>
      </c>
      <c r="E7" s="28">
        <f t="shared" si="0"/>
        <v>-62</v>
      </c>
      <c r="F7" s="42">
        <v>39</v>
      </c>
      <c r="G7" s="28">
        <f t="shared" si="1"/>
        <v>9</v>
      </c>
      <c r="H7" s="7"/>
    </row>
    <row r="8" spans="2:11" x14ac:dyDescent="0.2">
      <c r="B8" s="5" t="s">
        <v>4</v>
      </c>
      <c r="C8" s="28">
        <v>79</v>
      </c>
      <c r="D8" s="42">
        <v>58</v>
      </c>
      <c r="E8" s="28">
        <f t="shared" si="0"/>
        <v>21</v>
      </c>
      <c r="F8" s="42">
        <v>89</v>
      </c>
      <c r="G8" s="28">
        <f t="shared" si="1"/>
        <v>-10</v>
      </c>
      <c r="H8" s="7"/>
    </row>
    <row r="9" spans="2:11" x14ac:dyDescent="0.2">
      <c r="B9" s="5" t="s">
        <v>5</v>
      </c>
      <c r="C9" s="28">
        <v>46</v>
      </c>
      <c r="D9" s="42">
        <v>42</v>
      </c>
      <c r="E9" s="28">
        <f t="shared" si="0"/>
        <v>4</v>
      </c>
      <c r="F9" s="42">
        <v>55</v>
      </c>
      <c r="G9" s="28">
        <f t="shared" si="1"/>
        <v>-9</v>
      </c>
      <c r="H9" s="7"/>
    </row>
    <row r="10" spans="2:11" x14ac:dyDescent="0.2">
      <c r="B10" s="9" t="s">
        <v>6</v>
      </c>
      <c r="C10" s="28">
        <v>35</v>
      </c>
      <c r="D10" s="42">
        <v>23</v>
      </c>
      <c r="E10" s="28">
        <f t="shared" si="0"/>
        <v>12</v>
      </c>
      <c r="F10" s="42">
        <v>26</v>
      </c>
      <c r="G10" s="28">
        <f t="shared" si="1"/>
        <v>9</v>
      </c>
      <c r="H10" s="7"/>
    </row>
    <row r="11" spans="2:11" x14ac:dyDescent="0.2">
      <c r="B11" s="5" t="s">
        <v>7</v>
      </c>
      <c r="C11" s="28">
        <v>20</v>
      </c>
      <c r="D11" s="42">
        <v>12</v>
      </c>
      <c r="E11" s="28">
        <f t="shared" si="0"/>
        <v>8</v>
      </c>
      <c r="F11" s="42">
        <v>19</v>
      </c>
      <c r="G11" s="28">
        <f t="shared" si="1"/>
        <v>1</v>
      </c>
      <c r="H11" s="7"/>
    </row>
    <row r="12" spans="2:11" x14ac:dyDescent="0.2">
      <c r="B12" s="5" t="s">
        <v>8</v>
      </c>
      <c r="C12" s="28">
        <v>59</v>
      </c>
      <c r="D12" s="42">
        <v>20</v>
      </c>
      <c r="E12" s="28">
        <f t="shared" si="0"/>
        <v>39</v>
      </c>
      <c r="F12" s="42">
        <v>28</v>
      </c>
      <c r="G12" s="28">
        <f t="shared" si="1"/>
        <v>31</v>
      </c>
      <c r="H12" s="7"/>
    </row>
    <row r="13" spans="2:11" x14ac:dyDescent="0.2">
      <c r="B13" s="5" t="s">
        <v>9</v>
      </c>
      <c r="C13" s="28">
        <v>36</v>
      </c>
      <c r="D13" s="42">
        <v>43</v>
      </c>
      <c r="E13" s="28">
        <f t="shared" si="0"/>
        <v>-7</v>
      </c>
      <c r="F13" s="42">
        <v>51</v>
      </c>
      <c r="G13" s="28">
        <f t="shared" si="1"/>
        <v>-15</v>
      </c>
      <c r="H13" s="7"/>
    </row>
    <row r="14" spans="2:11" x14ac:dyDescent="0.2">
      <c r="B14" s="5" t="s">
        <v>10</v>
      </c>
      <c r="C14" s="28">
        <v>3</v>
      </c>
      <c r="D14" s="42">
        <v>7</v>
      </c>
      <c r="E14" s="28">
        <f t="shared" si="0"/>
        <v>-4</v>
      </c>
      <c r="F14" s="42">
        <v>57</v>
      </c>
      <c r="G14" s="28">
        <f t="shared" si="1"/>
        <v>-54</v>
      </c>
      <c r="H14" s="7"/>
    </row>
    <row r="15" spans="2:11" x14ac:dyDescent="0.2">
      <c r="B15" s="5" t="s">
        <v>11</v>
      </c>
      <c r="C15" s="28">
        <v>49</v>
      </c>
      <c r="D15" s="42">
        <v>65</v>
      </c>
      <c r="E15" s="28">
        <f t="shared" si="0"/>
        <v>-16</v>
      </c>
      <c r="F15" s="42">
        <v>73</v>
      </c>
      <c r="G15" s="28">
        <f t="shared" si="1"/>
        <v>-24</v>
      </c>
      <c r="H15" s="7"/>
    </row>
    <row r="16" spans="2:11" x14ac:dyDescent="0.2">
      <c r="B16" s="5" t="s">
        <v>12</v>
      </c>
      <c r="C16" s="28">
        <v>43</v>
      </c>
      <c r="D16" s="42">
        <v>37</v>
      </c>
      <c r="E16" s="28">
        <f t="shared" si="0"/>
        <v>6</v>
      </c>
      <c r="F16" s="42">
        <v>58</v>
      </c>
      <c r="G16" s="28">
        <f t="shared" si="1"/>
        <v>-15</v>
      </c>
      <c r="H16" s="7"/>
    </row>
    <row r="17" spans="2:8" x14ac:dyDescent="0.2">
      <c r="B17" s="5" t="s">
        <v>13</v>
      </c>
      <c r="C17" s="28">
        <v>9</v>
      </c>
      <c r="D17" s="42">
        <v>12</v>
      </c>
      <c r="E17" s="28">
        <f t="shared" si="0"/>
        <v>-3</v>
      </c>
      <c r="F17" s="42">
        <v>27</v>
      </c>
      <c r="G17" s="28">
        <f t="shared" si="1"/>
        <v>-18</v>
      </c>
      <c r="H17" s="7"/>
    </row>
    <row r="18" spans="2:8" x14ac:dyDescent="0.2">
      <c r="B18" s="5" t="s">
        <v>14</v>
      </c>
      <c r="C18" s="28">
        <v>36</v>
      </c>
      <c r="D18" s="42">
        <v>53</v>
      </c>
      <c r="E18" s="28">
        <f t="shared" si="0"/>
        <v>-17</v>
      </c>
      <c r="F18" s="42">
        <v>50</v>
      </c>
      <c r="G18" s="28">
        <f t="shared" si="1"/>
        <v>-14</v>
      </c>
      <c r="H18" s="7"/>
    </row>
    <row r="19" spans="2:8" x14ac:dyDescent="0.2">
      <c r="B19" s="5" t="s">
        <v>15</v>
      </c>
      <c r="C19" s="28">
        <v>31</v>
      </c>
      <c r="D19" s="42">
        <v>33</v>
      </c>
      <c r="E19" s="28">
        <f t="shared" si="0"/>
        <v>-2</v>
      </c>
      <c r="F19" s="42">
        <v>35</v>
      </c>
      <c r="G19" s="28">
        <f t="shared" si="1"/>
        <v>-4</v>
      </c>
      <c r="H19" s="7"/>
    </row>
    <row r="20" spans="2:8" x14ac:dyDescent="0.2">
      <c r="B20" s="5" t="s">
        <v>16</v>
      </c>
      <c r="C20" s="28">
        <v>53</v>
      </c>
      <c r="D20" s="42">
        <v>56</v>
      </c>
      <c r="E20" s="28">
        <f t="shared" si="0"/>
        <v>-3</v>
      </c>
      <c r="F20" s="42">
        <v>37</v>
      </c>
      <c r="G20" s="28">
        <f t="shared" si="1"/>
        <v>16</v>
      </c>
      <c r="H20" s="7"/>
    </row>
    <row r="21" spans="2:8" x14ac:dyDescent="0.2">
      <c r="B21" s="5" t="s">
        <v>17</v>
      </c>
      <c r="C21" s="28">
        <v>39</v>
      </c>
      <c r="D21" s="42">
        <v>43</v>
      </c>
      <c r="E21" s="28">
        <f t="shared" si="0"/>
        <v>-4</v>
      </c>
      <c r="F21" s="42">
        <v>42</v>
      </c>
      <c r="G21" s="28">
        <f t="shared" si="1"/>
        <v>-3</v>
      </c>
      <c r="H21" s="7"/>
    </row>
    <row r="22" spans="2:8" x14ac:dyDescent="0.2">
      <c r="B22" s="5" t="s">
        <v>18</v>
      </c>
      <c r="C22" s="28">
        <v>30</v>
      </c>
      <c r="D22" s="42">
        <v>35</v>
      </c>
      <c r="E22" s="28">
        <f t="shared" si="0"/>
        <v>-5</v>
      </c>
      <c r="F22" s="42">
        <v>67</v>
      </c>
      <c r="G22" s="28">
        <f t="shared" si="1"/>
        <v>-37</v>
      </c>
      <c r="H22" s="7"/>
    </row>
    <row r="23" spans="2:8" x14ac:dyDescent="0.2">
      <c r="B23" s="5" t="s">
        <v>19</v>
      </c>
      <c r="C23" s="28">
        <v>51</v>
      </c>
      <c r="D23" s="42">
        <v>69</v>
      </c>
      <c r="E23" s="28">
        <f t="shared" si="0"/>
        <v>-18</v>
      </c>
      <c r="F23" s="42">
        <v>122</v>
      </c>
      <c r="G23" s="28">
        <f t="shared" si="1"/>
        <v>-71</v>
      </c>
      <c r="H23" s="7"/>
    </row>
    <row r="24" spans="2:8" x14ac:dyDescent="0.2">
      <c r="B24" s="5" t="s">
        <v>20</v>
      </c>
      <c r="C24" s="28">
        <v>54</v>
      </c>
      <c r="D24" s="42">
        <v>21</v>
      </c>
      <c r="E24" s="28">
        <f t="shared" si="0"/>
        <v>33</v>
      </c>
      <c r="F24" s="42">
        <v>49</v>
      </c>
      <c r="G24" s="28">
        <f t="shared" si="1"/>
        <v>5</v>
      </c>
      <c r="H24" s="7"/>
    </row>
    <row r="25" spans="2:8" x14ac:dyDescent="0.2">
      <c r="B25" s="5" t="s">
        <v>21</v>
      </c>
      <c r="C25" s="28">
        <v>14</v>
      </c>
      <c r="D25" s="42">
        <v>20</v>
      </c>
      <c r="E25" s="28">
        <f t="shared" si="0"/>
        <v>-6</v>
      </c>
      <c r="F25" s="42">
        <v>36</v>
      </c>
      <c r="G25" s="28">
        <f t="shared" si="1"/>
        <v>-22</v>
      </c>
      <c r="H25" s="7"/>
    </row>
    <row r="26" spans="2:8" x14ac:dyDescent="0.2">
      <c r="B26" s="5" t="s">
        <v>22</v>
      </c>
      <c r="C26" s="28">
        <v>36</v>
      </c>
      <c r="D26" s="42">
        <v>42</v>
      </c>
      <c r="E26" s="28">
        <f t="shared" si="0"/>
        <v>-6</v>
      </c>
      <c r="F26" s="42">
        <v>42</v>
      </c>
      <c r="G26" s="28">
        <f t="shared" si="1"/>
        <v>-6</v>
      </c>
      <c r="H26" s="7"/>
    </row>
    <row r="27" spans="2:8" x14ac:dyDescent="0.2">
      <c r="B27" s="5" t="s">
        <v>23</v>
      </c>
      <c r="C27" s="28">
        <v>61</v>
      </c>
      <c r="D27" s="42">
        <v>101</v>
      </c>
      <c r="E27" s="28">
        <f t="shared" si="0"/>
        <v>-40</v>
      </c>
      <c r="F27" s="42">
        <v>76</v>
      </c>
      <c r="G27" s="28">
        <f t="shared" si="1"/>
        <v>-15</v>
      </c>
      <c r="H27" s="7"/>
    </row>
    <row r="28" spans="2:8" x14ac:dyDescent="0.2">
      <c r="B28" s="5" t="s">
        <v>24</v>
      </c>
      <c r="C28" s="28">
        <v>27</v>
      </c>
      <c r="D28" s="42">
        <v>17</v>
      </c>
      <c r="E28" s="28">
        <f t="shared" si="0"/>
        <v>10</v>
      </c>
      <c r="F28" s="42">
        <v>27</v>
      </c>
      <c r="G28" s="28">
        <f t="shared" si="1"/>
        <v>0</v>
      </c>
      <c r="H28" s="7"/>
    </row>
    <row r="29" spans="2:8" ht="15" x14ac:dyDescent="0.25">
      <c r="B29" s="39" t="s">
        <v>25</v>
      </c>
      <c r="C29" s="48">
        <f>SUM(C4:C28)</f>
        <v>1015</v>
      </c>
      <c r="D29" s="44">
        <f>SUM(D4:D28)</f>
        <v>993</v>
      </c>
      <c r="E29" s="48">
        <f>SUM(E4:E28)</f>
        <v>22</v>
      </c>
      <c r="F29" s="44">
        <f>SUM(F4:F28)</f>
        <v>1259</v>
      </c>
      <c r="G29" s="48">
        <f>SUM(G4:G28)</f>
        <v>-244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08-'24 r.</v>
      </c>
      <c r="E3" s="36" t="str">
        <f>T('8oferty s.'!D3)</f>
        <v>liczba ofert w 07-'24 r.</v>
      </c>
      <c r="F3" s="36" t="str">
        <f>T('8oferty s.'!E3)</f>
        <v>wzrost/spadek do poprzedniego  miesiąca</v>
      </c>
      <c r="G3" s="36" t="str">
        <f>T('8oferty s.'!F3)</f>
        <v>liczba ofert w 08-'23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2</v>
      </c>
      <c r="C4" s="5" t="str">
        <f>INDEX('8oferty s.'!B4:G29,MATCH(1,B4:B29,0),1)</f>
        <v>łańcucki</v>
      </c>
      <c r="D4" s="24">
        <f>INDEX('8oferty s.'!B4:G29,MATCH(1,B4:B29,0),2)</f>
        <v>3</v>
      </c>
      <c r="E4" s="42">
        <f>INDEX('8oferty s.'!B4:G29,MATCH(1,B4:B29,0),3)</f>
        <v>7</v>
      </c>
      <c r="F4" s="6">
        <f>INDEX('8oferty s.'!B4:G29,MATCH(1,B4:B29,0),4)</f>
        <v>-4</v>
      </c>
      <c r="G4" s="42">
        <f>INDEX('8oferty s.'!B4:G29,MATCH(1,B4:B29,0),5)</f>
        <v>57</v>
      </c>
      <c r="H4" s="6">
        <f>INDEX('8oferty s.'!B4:G29,MATCH(1,B4:B29,0),6)</f>
        <v>-54</v>
      </c>
    </row>
    <row r="5" spans="2:8" x14ac:dyDescent="0.2">
      <c r="B5" s="6">
        <f>RANK('8oferty s.'!C5,'8oferty s.'!$C$4:'8oferty s.'!$C$29,1)+COUNTIF('8oferty s.'!$C$4:'8oferty s.'!C5,'8oferty s.'!C5)-1</f>
        <v>23</v>
      </c>
      <c r="C5" s="5" t="str">
        <f>INDEX('8oferty s.'!B4:G29,MATCH(2,B4:B29,0),1)</f>
        <v>bieszczadzki</v>
      </c>
      <c r="D5" s="6">
        <f>INDEX('8oferty s.'!B4:G29,MATCH(2,B4:B29,0),2)</f>
        <v>6</v>
      </c>
      <c r="E5" s="42">
        <f>INDEX('8oferty s.'!B4:G29,MATCH(2,B4:B29,0),3)</f>
        <v>10</v>
      </c>
      <c r="F5" s="6">
        <f>INDEX('8oferty s.'!B4:G29,MATCH(2,B4:B29,0),4)</f>
        <v>-4</v>
      </c>
      <c r="G5" s="42">
        <f>INDEX('8oferty s.'!B4:G29,MATCH(2,B4:B29,0),5)</f>
        <v>34</v>
      </c>
      <c r="H5" s="6">
        <f>INDEX('8oferty s.'!B4:G29,MATCH(2,B4:B29,0),6)</f>
        <v>-28</v>
      </c>
    </row>
    <row r="6" spans="2:8" x14ac:dyDescent="0.2">
      <c r="B6" s="6">
        <f>RANK('8oferty s.'!C6,'8oferty s.'!$C$4:'8oferty s.'!$C$29,1)+COUNTIF('8oferty s.'!$C$4:'8oferty s.'!C6,'8oferty s.'!C6)-1</f>
        <v>24</v>
      </c>
      <c r="C6" s="5" t="str">
        <f>INDEX('8oferty s.'!B4:G29,MATCH(3,B4:B29,0),1)</f>
        <v>przemyski</v>
      </c>
      <c r="D6" s="6">
        <f>INDEX('8oferty s.'!B4:G29,MATCH(3,B4:B29,0),2)</f>
        <v>9</v>
      </c>
      <c r="E6" s="42">
        <f>INDEX('8oferty s.'!B4:G29,MATCH(3,B4:B29,0),3)</f>
        <v>12</v>
      </c>
      <c r="F6" s="6">
        <f>INDEX('8oferty s.'!B4:G29,MATCH(3,B4:B29,0),4)</f>
        <v>-3</v>
      </c>
      <c r="G6" s="42">
        <f>INDEX('8oferty s.'!B4:G29,MATCH(3,B4:B29,0),5)</f>
        <v>27</v>
      </c>
      <c r="H6" s="6">
        <f>INDEX('8oferty s.'!B4:G29,MATCH(3,B4:B29,0),6)</f>
        <v>-18</v>
      </c>
    </row>
    <row r="7" spans="2:8" x14ac:dyDescent="0.2">
      <c r="B7" s="6">
        <f>RANK('8oferty s.'!C7,'8oferty s.'!$C$4:'8oferty s.'!$C$29,1)+COUNTIF('8oferty s.'!$C$4:'8oferty s.'!C7,'8oferty s.'!C7)-1</f>
        <v>16</v>
      </c>
      <c r="C7" s="5" t="str">
        <f>INDEX('8oferty s.'!B4:G29,MATCH(4,B4:B29,0),1)</f>
        <v>Krosno</v>
      </c>
      <c r="D7" s="6">
        <f>INDEX('8oferty s.'!B4:G29,MATCH(4,B4:B29,0),2)</f>
        <v>14</v>
      </c>
      <c r="E7" s="42">
        <f>INDEX('8oferty s.'!B4:G29,MATCH(4,B4:B29,0),3)</f>
        <v>20</v>
      </c>
      <c r="F7" s="6">
        <f>INDEX('8oferty s.'!B4:G29,MATCH(4,B4:B29,0),4)</f>
        <v>-6</v>
      </c>
      <c r="G7" s="42">
        <f>INDEX('8oferty s.'!B4:G29,MATCH(4,B4:B29,0),5)</f>
        <v>36</v>
      </c>
      <c r="H7" s="6">
        <f>INDEX('8oferty s.'!B4:G29,MATCH(4,B4:B29,0),6)</f>
        <v>-22</v>
      </c>
    </row>
    <row r="8" spans="2:8" x14ac:dyDescent="0.2">
      <c r="B8" s="6">
        <f>RANK('8oferty s.'!C8,'8oferty s.'!$C$4:'8oferty s.'!$C$29,1)+COUNTIF('8oferty s.'!$C$4:'8oferty s.'!C8,'8oferty s.'!C8)-1</f>
        <v>25</v>
      </c>
      <c r="C8" s="5" t="str">
        <f>INDEX('8oferty s.'!B4:G29,MATCH(5,B4:B29,0),1)</f>
        <v>leski</v>
      </c>
      <c r="D8" s="6">
        <f>INDEX('8oferty s.'!B4:G29,MATCH(5,B4:B29,0),2)</f>
        <v>20</v>
      </c>
      <c r="E8" s="42">
        <f>INDEX('8oferty s.'!B4:G29,MATCH(5,B4:B29,0),3)</f>
        <v>12</v>
      </c>
      <c r="F8" s="6">
        <f>INDEX('8oferty s.'!B4:G29,MATCH(5,B4:B29,0),4)</f>
        <v>8</v>
      </c>
      <c r="G8" s="42">
        <f>INDEX('8oferty s.'!B4:G29,MATCH(5,B4:B29,0),5)</f>
        <v>19</v>
      </c>
      <c r="H8" s="6">
        <f>INDEX('8oferty s.'!B4:G29,MATCH(5,B4:B29,0),6)</f>
        <v>1</v>
      </c>
    </row>
    <row r="9" spans="2:8" x14ac:dyDescent="0.2">
      <c r="B9" s="6">
        <f>RANK('8oferty s.'!C9,'8oferty s.'!$C$4:'8oferty s.'!$C$29,1)+COUNTIF('8oferty s.'!$C$4:'8oferty s.'!C9,'8oferty s.'!C9)-1</f>
        <v>15</v>
      </c>
      <c r="C9" s="5" t="str">
        <f>INDEX('8oferty s.'!B4:G29,MATCH(6,B4:B29,0),1)</f>
        <v>Tarnobrzeg</v>
      </c>
      <c r="D9" s="6">
        <f>INDEX('8oferty s.'!B4:G29,MATCH(6,B4:B29,0),2)</f>
        <v>27</v>
      </c>
      <c r="E9" s="42">
        <f>INDEX('8oferty s.'!B4:G29,MATCH(6,B4:B29,0),3)</f>
        <v>17</v>
      </c>
      <c r="F9" s="6">
        <f>INDEX('8oferty s.'!B4:G29,MATCH(6,B4:B29,0),4)</f>
        <v>10</v>
      </c>
      <c r="G9" s="42">
        <f>INDEX('8oferty s.'!B4:G29,MATCH(6,B4:B29,0),5)</f>
        <v>27</v>
      </c>
      <c r="H9" s="6">
        <f>INDEX('8oferty s.'!B4:G29,MATCH(6,B4:B29,0),6)</f>
        <v>0</v>
      </c>
    </row>
    <row r="10" spans="2:8" x14ac:dyDescent="0.2">
      <c r="B10" s="6">
        <f>RANK('8oferty s.'!C10,'8oferty s.'!$C$4:'8oferty s.'!$C$29,1)+COUNTIF('8oferty s.'!$C$4:'8oferty s.'!C10,'8oferty s.'!C10)-1</f>
        <v>9</v>
      </c>
      <c r="C10" s="9" t="str">
        <f>INDEX('8oferty s.'!B4:G29,MATCH(7,B4:B29,0),1)</f>
        <v>stalowowolski</v>
      </c>
      <c r="D10" s="6">
        <f>INDEX('8oferty s.'!B4:G29,MATCH(7,B4:B29,0),2)</f>
        <v>30</v>
      </c>
      <c r="E10" s="42">
        <f>INDEX('8oferty s.'!B4:G29,MATCH(7,B4:B29,0),3)</f>
        <v>35</v>
      </c>
      <c r="F10" s="6">
        <f>INDEX('8oferty s.'!B4:G29,MATCH(7,B4:B29,0),4)</f>
        <v>-5</v>
      </c>
      <c r="G10" s="42">
        <f>INDEX('8oferty s.'!B4:G29,MATCH(7,B4:B29,0),5)</f>
        <v>67</v>
      </c>
      <c r="H10" s="6">
        <f>INDEX('8oferty s.'!B4:G29,MATCH(7,B4:B29,0),6)</f>
        <v>-37</v>
      </c>
    </row>
    <row r="11" spans="2:8" x14ac:dyDescent="0.2">
      <c r="B11" s="6">
        <f>RANK('8oferty s.'!C11,'8oferty s.'!$C$4:'8oferty s.'!$C$29,1)+COUNTIF('8oferty s.'!$C$4:'8oferty s.'!C11,'8oferty s.'!C11)-1</f>
        <v>5</v>
      </c>
      <c r="C11" s="5" t="str">
        <f>INDEX('8oferty s.'!B4:G29,MATCH(8,B4:B29,0),1)</f>
        <v>ropczycko-sędziszowski</v>
      </c>
      <c r="D11" s="6">
        <f>INDEX('8oferty s.'!B4:G29,MATCH(8,B4:B29,0),2)</f>
        <v>31</v>
      </c>
      <c r="E11" s="42">
        <f>INDEX('8oferty s.'!B4:G29,MATCH(8,B4:B29,0),3)</f>
        <v>33</v>
      </c>
      <c r="F11" s="6">
        <f>INDEX('8oferty s.'!B4:G29,MATCH(8,B4:B29,0),4)</f>
        <v>-2</v>
      </c>
      <c r="G11" s="42">
        <f>INDEX('8oferty s.'!B4:G29,MATCH(8,B4:B29,0),5)</f>
        <v>35</v>
      </c>
      <c r="H11" s="6">
        <f>INDEX('8oferty s.'!B4:G29,MATCH(8,B4:B29,0),6)</f>
        <v>-4</v>
      </c>
    </row>
    <row r="12" spans="2:8" x14ac:dyDescent="0.2">
      <c r="B12" s="6">
        <f>RANK('8oferty s.'!C12,'8oferty s.'!$C$4:'8oferty s.'!$C$29,1)+COUNTIF('8oferty s.'!$C$4:'8oferty s.'!C12,'8oferty s.'!C12)-1</f>
        <v>21</v>
      </c>
      <c r="C12" s="5" t="str">
        <f>INDEX('8oferty s.'!B4:G29,MATCH(9,B4:B29,0),1)</f>
        <v>krośnieński</v>
      </c>
      <c r="D12" s="6">
        <f>INDEX('8oferty s.'!B4:G29,MATCH(9,B4:B29,0),2)</f>
        <v>35</v>
      </c>
      <c r="E12" s="42">
        <f>INDEX('8oferty s.'!B4:G29,MATCH(9,B4:B29,0),3)</f>
        <v>23</v>
      </c>
      <c r="F12" s="6">
        <f>INDEX('8oferty s.'!B4:G29,MATCH(9,B4:B29,0),4)</f>
        <v>12</v>
      </c>
      <c r="G12" s="42">
        <f>INDEX('8oferty s.'!B4:G29,MATCH(9,B4:B29,0),5)</f>
        <v>26</v>
      </c>
      <c r="H12" s="6">
        <f>INDEX('8oferty s.'!B4:G29,MATCH(9,B4:B29,0),6)</f>
        <v>9</v>
      </c>
    </row>
    <row r="13" spans="2:8" x14ac:dyDescent="0.2">
      <c r="B13" s="6">
        <f>RANK('8oferty s.'!C13,'8oferty s.'!$C$4:'8oferty s.'!$C$29,1)+COUNTIF('8oferty s.'!$C$4:'8oferty s.'!C13,'8oferty s.'!C13)-1</f>
        <v>10</v>
      </c>
      <c r="C13" s="5" t="str">
        <f>INDEX('8oferty s.'!B4:G29,MATCH(10,B4:B29,0),1)</f>
        <v>lubaczowski</v>
      </c>
      <c r="D13" s="6">
        <f>INDEX('8oferty s.'!B4:G29,MATCH(10,B4:B29,0),2)</f>
        <v>36</v>
      </c>
      <c r="E13" s="42">
        <f>INDEX('8oferty s.'!B4:G29,MATCH(10,B4:B29,0),3)</f>
        <v>43</v>
      </c>
      <c r="F13" s="6">
        <f>INDEX('8oferty s.'!B4:G29,MATCH(10,B4:B29,0),4)</f>
        <v>-7</v>
      </c>
      <c r="G13" s="42">
        <f>INDEX('8oferty s.'!B4:G29,MATCH(10,B4:B29,0),5)</f>
        <v>51</v>
      </c>
      <c r="H13" s="6">
        <f>INDEX('8oferty s.'!B4:G29,MATCH(10,B4:B29,0),6)</f>
        <v>-15</v>
      </c>
    </row>
    <row r="14" spans="2:8" x14ac:dyDescent="0.2">
      <c r="B14" s="6">
        <f>RANK('8oferty s.'!C14,'8oferty s.'!$C$4:'8oferty s.'!$C$29,1)+COUNTIF('8oferty s.'!$C$4:'8oferty s.'!C14,'8oferty s.'!C14)-1</f>
        <v>1</v>
      </c>
      <c r="C14" s="5" t="str">
        <f>INDEX('8oferty s.'!B4:G29,MATCH(11,B4:B29,0),1)</f>
        <v>przeworski</v>
      </c>
      <c r="D14" s="6">
        <f>INDEX('8oferty s.'!B4:G29,MATCH(11,B4:B29,0),2)</f>
        <v>36</v>
      </c>
      <c r="E14" s="42">
        <f>INDEX('8oferty s.'!B4:G29,MATCH(11,B4:B29,0),3)</f>
        <v>53</v>
      </c>
      <c r="F14" s="6">
        <f>INDEX('8oferty s.'!B4:G29,MATCH(11,B4:B29,0),4)</f>
        <v>-17</v>
      </c>
      <c r="G14" s="42">
        <f>INDEX('8oferty s.'!B4:G29,MATCH(11,B4:B29,0),5)</f>
        <v>50</v>
      </c>
      <c r="H14" s="6">
        <f>INDEX('8oferty s.'!B4:G29,MATCH(11,B4:B29,0),6)</f>
        <v>-14</v>
      </c>
    </row>
    <row r="15" spans="2:8" x14ac:dyDescent="0.2">
      <c r="B15" s="6">
        <f>RANK('8oferty s.'!C15,'8oferty s.'!$C$4:'8oferty s.'!$C$29,1)+COUNTIF('8oferty s.'!$C$4:'8oferty s.'!C15,'8oferty s.'!C15)-1</f>
        <v>17</v>
      </c>
      <c r="C15" s="5" t="str">
        <f>INDEX('8oferty s.'!B4:G29,MATCH(12,B4:B29,0),1)</f>
        <v>Przemyśl</v>
      </c>
      <c r="D15" s="6">
        <f>INDEX('8oferty s.'!B4:G29,MATCH(12,B4:B29,0),2)</f>
        <v>36</v>
      </c>
      <c r="E15" s="42">
        <f>INDEX('8oferty s.'!B4:G29,MATCH(12,B4:B29,0),3)</f>
        <v>42</v>
      </c>
      <c r="F15" s="6">
        <f>INDEX('8oferty s.'!B4:G29,MATCH(12,B4:B29,0),4)</f>
        <v>-6</v>
      </c>
      <c r="G15" s="42">
        <f>INDEX('8oferty s.'!B4:G29,MATCH(12,B4:B29,0),5)</f>
        <v>42</v>
      </c>
      <c r="H15" s="6">
        <f>INDEX('8oferty s.'!B4:G29,MATCH(12,B4:B29,0),6)</f>
        <v>-6</v>
      </c>
    </row>
    <row r="16" spans="2:8" x14ac:dyDescent="0.2">
      <c r="B16" s="6">
        <f>RANK('8oferty s.'!C16,'8oferty s.'!$C$4:'8oferty s.'!$C$29,1)+COUNTIF('8oferty s.'!$C$4:'8oferty s.'!C16,'8oferty s.'!C16)-1</f>
        <v>14</v>
      </c>
      <c r="C16" s="5" t="str">
        <f>INDEX('8oferty s.'!B4:G29,MATCH(13,B4:B29,0),1)</f>
        <v>sanocki</v>
      </c>
      <c r="D16" s="6">
        <f>INDEX('8oferty s.'!B4:G29,MATCH(13,B4:B29,0),2)</f>
        <v>39</v>
      </c>
      <c r="E16" s="42">
        <f>INDEX('8oferty s.'!B4:G29,MATCH(13,B4:B29,0),3)</f>
        <v>43</v>
      </c>
      <c r="F16" s="6">
        <f>INDEX('8oferty s.'!B4:G29,MATCH(13,B4:B29,0),4)</f>
        <v>-4</v>
      </c>
      <c r="G16" s="42">
        <f>INDEX('8oferty s.'!B4:G29,MATCH(13,B4:B29,0),5)</f>
        <v>42</v>
      </c>
      <c r="H16" s="6">
        <f>INDEX('8oferty s.'!B4:G29,MATCH(13,B4:B29,0),6)</f>
        <v>-3</v>
      </c>
    </row>
    <row r="17" spans="2:8" x14ac:dyDescent="0.2">
      <c r="B17" s="6">
        <f>RANK('8oferty s.'!C17,'8oferty s.'!$C$4:'8oferty s.'!$C$29,1)+COUNTIF('8oferty s.'!$C$4:'8oferty s.'!C17,'8oferty s.'!C17)-1</f>
        <v>3</v>
      </c>
      <c r="C17" s="5" t="str">
        <f>INDEX('8oferty s.'!B4:G29,MATCH(14,B4:B29,0),1)</f>
        <v>niżański</v>
      </c>
      <c r="D17" s="6">
        <f>INDEX('8oferty s.'!B4:G29,MATCH(14,B4:B29,0),2)</f>
        <v>43</v>
      </c>
      <c r="E17" s="42">
        <f>INDEX('8oferty s.'!B4:G29,MATCH(14,B4:B29,0),3)</f>
        <v>37</v>
      </c>
      <c r="F17" s="6">
        <f>INDEX('8oferty s.'!B4:G29,MATCH(14,B4:B29,0),4)</f>
        <v>6</v>
      </c>
      <c r="G17" s="42">
        <f>INDEX('8oferty s.'!B4:G29,MATCH(14,B4:B29,0),5)</f>
        <v>58</v>
      </c>
      <c r="H17" s="6">
        <f>INDEX('8oferty s.'!B4:G29,MATCH(14,B4:B29,0),6)</f>
        <v>-15</v>
      </c>
    </row>
    <row r="18" spans="2:8" x14ac:dyDescent="0.2">
      <c r="B18" s="6">
        <f>RANK('8oferty s.'!C18,'8oferty s.'!$C$4:'8oferty s.'!$C$29,1)+COUNTIF('8oferty s.'!$C$4:'8oferty s.'!C18,'8oferty s.'!C18)-1</f>
        <v>11</v>
      </c>
      <c r="C18" s="5" t="str">
        <f>INDEX('8oferty s.'!B4:G29,MATCH(15,B4:B29,0),1)</f>
        <v>kolbuszowski</v>
      </c>
      <c r="D18" s="6">
        <f>INDEX('8oferty s.'!B4:G29,MATCH(15,B4:B29,0),2)</f>
        <v>46</v>
      </c>
      <c r="E18" s="42">
        <f>INDEX('8oferty s.'!B4:G29,MATCH(15,B4:B29,0),3)</f>
        <v>42</v>
      </c>
      <c r="F18" s="6">
        <f>INDEX('8oferty s.'!B4:G29,MATCH(15,B4:B29,0),4)</f>
        <v>4</v>
      </c>
      <c r="G18" s="42">
        <f>INDEX('8oferty s.'!B4:G29,MATCH(15,B4:B29,0),5)</f>
        <v>55</v>
      </c>
      <c r="H18" s="6">
        <f>INDEX('8oferty s.'!B4:G29,MATCH(15,B4:B29,0),6)</f>
        <v>-9</v>
      </c>
    </row>
    <row r="19" spans="2:8" x14ac:dyDescent="0.2">
      <c r="B19" s="6">
        <f>RANK('8oferty s.'!C19,'8oferty s.'!$C$4:'8oferty s.'!$C$29,1)+COUNTIF('8oferty s.'!$C$4:'8oferty s.'!C19,'8oferty s.'!C19)-1</f>
        <v>8</v>
      </c>
      <c r="C19" s="5" t="str">
        <f>INDEX('8oferty s.'!B4:G29,MATCH(16,B4:B29,0),1)</f>
        <v>jarosławski</v>
      </c>
      <c r="D19" s="6">
        <f>INDEX('8oferty s.'!B4:G29,MATCH(16,B4:B29,0),2)</f>
        <v>48</v>
      </c>
      <c r="E19" s="42">
        <f>INDEX('8oferty s.'!B4:G29,MATCH(16,B4:B29,0),3)</f>
        <v>110</v>
      </c>
      <c r="F19" s="6">
        <f>INDEX('8oferty s.'!B4:G29,MATCH(16,B4:B29,0),4)</f>
        <v>-62</v>
      </c>
      <c r="G19" s="42">
        <f>INDEX('8oferty s.'!B4:G29,MATCH(16,B4:B29,0),5)</f>
        <v>39</v>
      </c>
      <c r="H19" s="6">
        <f>INDEX('8oferty s.'!B4:G29,MATCH(16,B4:B29,0),6)</f>
        <v>9</v>
      </c>
    </row>
    <row r="20" spans="2:8" x14ac:dyDescent="0.2">
      <c r="B20" s="6">
        <f>RANK('8oferty s.'!C20,'8oferty s.'!$C$4:'8oferty s.'!$C$29,1)+COUNTIF('8oferty s.'!$C$4:'8oferty s.'!C20,'8oferty s.'!C20)-1</f>
        <v>19</v>
      </c>
      <c r="C20" s="5" t="str">
        <f>INDEX('8oferty s.'!B4:G29,MATCH(17,B4:B29,0),1)</f>
        <v>mielecki</v>
      </c>
      <c r="D20" s="6">
        <f>INDEX('8oferty s.'!B4:G29,MATCH(17,B4:B29,0),2)</f>
        <v>49</v>
      </c>
      <c r="E20" s="42">
        <f>INDEX('8oferty s.'!B4:G29,MATCH(17,B4:B29,0),3)</f>
        <v>65</v>
      </c>
      <c r="F20" s="6">
        <f>INDEX('8oferty s.'!B4:G29,MATCH(17,B4:B29,0),4)</f>
        <v>-16</v>
      </c>
      <c r="G20" s="42">
        <f>INDEX('8oferty s.'!B4:G29,MATCH(17,B4:B29,0),5)</f>
        <v>73</v>
      </c>
      <c r="H20" s="6">
        <f>INDEX('8oferty s.'!B4:G29,MATCH(17,B4:B29,0),6)</f>
        <v>-24</v>
      </c>
    </row>
    <row r="21" spans="2:8" x14ac:dyDescent="0.2">
      <c r="B21" s="6">
        <f>RANK('8oferty s.'!C21,'8oferty s.'!$C$4:'8oferty s.'!$C$29,1)+COUNTIF('8oferty s.'!$C$4:'8oferty s.'!C21,'8oferty s.'!C21)-1</f>
        <v>13</v>
      </c>
      <c r="C21" s="5" t="str">
        <f>INDEX('8oferty s.'!B4:G29,MATCH(18,B4:B29,0),1)</f>
        <v>strzyżowski</v>
      </c>
      <c r="D21" s="6">
        <f>INDEX('8oferty s.'!B4:G29,MATCH(18,B4:B29,0),2)</f>
        <v>51</v>
      </c>
      <c r="E21" s="42">
        <f>INDEX('8oferty s.'!B4:G29,MATCH(18,B4:B29,0),3)</f>
        <v>69</v>
      </c>
      <c r="F21" s="6">
        <f>INDEX('8oferty s.'!B4:G29,MATCH(18,B4:B29,0),4)</f>
        <v>-18</v>
      </c>
      <c r="G21" s="42">
        <f>INDEX('8oferty s.'!B4:G29,MATCH(18,B4:B29,0),5)</f>
        <v>122</v>
      </c>
      <c r="H21" s="6">
        <f>INDEX('8oferty s.'!B4:G29,MATCH(18,B4:B29,0),6)</f>
        <v>-71</v>
      </c>
    </row>
    <row r="22" spans="2:8" x14ac:dyDescent="0.2">
      <c r="B22" s="6">
        <f>RANK('8oferty s.'!C22,'8oferty s.'!$C$4:'8oferty s.'!$C$29,1)+COUNTIF('8oferty s.'!$C$4:'8oferty s.'!C22,'8oferty s.'!C22)-1</f>
        <v>7</v>
      </c>
      <c r="C22" s="5" t="str">
        <f>INDEX('8oferty s.'!B4:G29,MATCH(19,B4:B29,0),1)</f>
        <v>rzeszowski</v>
      </c>
      <c r="D22" s="6">
        <f>INDEX('8oferty s.'!B4:G29,MATCH(19,B4:B29,0),2)</f>
        <v>53</v>
      </c>
      <c r="E22" s="42">
        <f>INDEX('8oferty s.'!B4:G29,MATCH(19,B4:B29,0),3)</f>
        <v>56</v>
      </c>
      <c r="F22" s="6">
        <f>INDEX('8oferty s.'!B4:G29,MATCH(19,B4:B29,0),4)</f>
        <v>-3</v>
      </c>
      <c r="G22" s="42">
        <f>INDEX('8oferty s.'!B4:G29,MATCH(19,B4:B29,0),5)</f>
        <v>37</v>
      </c>
      <c r="H22" s="6">
        <f>INDEX('8oferty s.'!B4:G29,MATCH(19,B4:B29,0),6)</f>
        <v>16</v>
      </c>
    </row>
    <row r="23" spans="2:8" x14ac:dyDescent="0.2">
      <c r="B23" s="6">
        <f>RANK('8oferty s.'!C23,'8oferty s.'!$C$4:'8oferty s.'!$C$29,1)+COUNTIF('8oferty s.'!$C$4:'8oferty s.'!C23,'8oferty s.'!C23)-1</f>
        <v>18</v>
      </c>
      <c r="C23" s="5" t="str">
        <f>INDEX('8oferty s.'!B4:G29,MATCH(20,B4:B29,0),1)</f>
        <v xml:space="preserve">tarnobrzeski </v>
      </c>
      <c r="D23" s="6">
        <f>INDEX('8oferty s.'!B4:G29,MATCH(20,B4:B29,0),2)</f>
        <v>54</v>
      </c>
      <c r="E23" s="42">
        <f>INDEX('8oferty s.'!B4:G29,MATCH(20,B4:B29,0),3)</f>
        <v>21</v>
      </c>
      <c r="F23" s="6">
        <f>INDEX('8oferty s.'!B4:G29,MATCH(20,B4:B29,0),4)</f>
        <v>33</v>
      </c>
      <c r="G23" s="42">
        <f>INDEX('8oferty s.'!B4:G29,MATCH(20,B4:B29,0),5)</f>
        <v>49</v>
      </c>
      <c r="H23" s="6">
        <f>INDEX('8oferty s.'!B4:G29,MATCH(20,B4:B29,0),6)</f>
        <v>5</v>
      </c>
    </row>
    <row r="24" spans="2:8" x14ac:dyDescent="0.2">
      <c r="B24" s="6">
        <f>RANK('8oferty s.'!C24,'8oferty s.'!$C$4:'8oferty s.'!$C$29,1)+COUNTIF('8oferty s.'!$C$4:'8oferty s.'!C24,'8oferty s.'!C24)-1</f>
        <v>20</v>
      </c>
      <c r="C24" s="5" t="str">
        <f>INDEX('8oferty s.'!B4:G29,MATCH(21,B4:B29,0),1)</f>
        <v>leżajski</v>
      </c>
      <c r="D24" s="6">
        <f>INDEX('8oferty s.'!B4:G29,MATCH(21,B4:B29,0),2)</f>
        <v>59</v>
      </c>
      <c r="E24" s="42">
        <f>INDEX('8oferty s.'!B4:G29,MATCH(21,B4:B29,0),3)</f>
        <v>20</v>
      </c>
      <c r="F24" s="6">
        <f>INDEX('8oferty s.'!B4:G29,MATCH(21,B4:B29,0),4)</f>
        <v>39</v>
      </c>
      <c r="G24" s="42">
        <f>INDEX('8oferty s.'!B4:G29,MATCH(21,B4:B29,0),5)</f>
        <v>28</v>
      </c>
      <c r="H24" s="6">
        <f>INDEX('8oferty s.'!B4:G29,MATCH(21,B4:B29,0),6)</f>
        <v>31</v>
      </c>
    </row>
    <row r="25" spans="2:8" x14ac:dyDescent="0.2">
      <c r="B25" s="6">
        <f>RANK('8oferty s.'!C25,'8oferty s.'!$C$4:'8oferty s.'!$C$29,1)+COUNTIF('8oferty s.'!$C$4:'8oferty s.'!C25,'8oferty s.'!C25)-1</f>
        <v>4</v>
      </c>
      <c r="C25" s="5" t="str">
        <f>INDEX('8oferty s.'!B4:G29,MATCH(22,B4:B29,0),1)</f>
        <v>Rzeszów</v>
      </c>
      <c r="D25" s="6">
        <f>INDEX('8oferty s.'!B4:G29,MATCH(22,B4:B29,0),2)</f>
        <v>61</v>
      </c>
      <c r="E25" s="42">
        <f>INDEX('8oferty s.'!B4:G29,MATCH(22,B4:B29,0),3)</f>
        <v>101</v>
      </c>
      <c r="F25" s="6">
        <f>INDEX('8oferty s.'!B4:G29,MATCH(22,B4:B29,0),4)</f>
        <v>-40</v>
      </c>
      <c r="G25" s="42">
        <f>INDEX('8oferty s.'!B4:G29,MATCH(22,B4:B29,0),5)</f>
        <v>76</v>
      </c>
      <c r="H25" s="6">
        <f>INDEX('8oferty s.'!B4:G29,MATCH(22,B4:B29,0),6)</f>
        <v>-15</v>
      </c>
    </row>
    <row r="26" spans="2:8" x14ac:dyDescent="0.2">
      <c r="B26" s="6">
        <f>RANK('8oferty s.'!C26,'8oferty s.'!$C$4:'8oferty s.'!$C$29,1)+COUNTIF('8oferty s.'!$C$4:'8oferty s.'!C26,'8oferty s.'!C26)-1</f>
        <v>12</v>
      </c>
      <c r="C26" s="5" t="str">
        <f>INDEX('8oferty s.'!B4:G29,MATCH(23,B4:B29,0),1)</f>
        <v>brzozowski</v>
      </c>
      <c r="D26" s="6">
        <f>INDEX('8oferty s.'!B4:G29,MATCH(23,B4:B29,0),2)</f>
        <v>75</v>
      </c>
      <c r="E26" s="42">
        <f>INDEX('8oferty s.'!B4:G29,MATCH(23,B4:B29,0),3)</f>
        <v>31</v>
      </c>
      <c r="F26" s="6">
        <f>INDEX('8oferty s.'!B4:G29,MATCH(23,B4:B29,0),4)</f>
        <v>44</v>
      </c>
      <c r="G26" s="42">
        <f>INDEX('8oferty s.'!B4:G29,MATCH(23,B4:B29,0),5)</f>
        <v>51</v>
      </c>
      <c r="H26" s="6">
        <f>INDEX('8oferty s.'!B4:G29,MATCH(23,B4:B29,0),6)</f>
        <v>24</v>
      </c>
    </row>
    <row r="27" spans="2:8" x14ac:dyDescent="0.2">
      <c r="B27" s="6">
        <f>RANK('8oferty s.'!C27,'8oferty s.'!$C$4:'8oferty s.'!$C$29,1)+COUNTIF('8oferty s.'!$C$4:'8oferty s.'!C27,'8oferty s.'!C27)-1</f>
        <v>22</v>
      </c>
      <c r="C27" s="5" t="str">
        <f>INDEX('8oferty s.'!B4:G29,MATCH(24,B4:B29,0),1)</f>
        <v>dębicki</v>
      </c>
      <c r="D27" s="6">
        <f>INDEX('8oferty s.'!B4:G29,MATCH(24,B4:B29,0),2)</f>
        <v>75</v>
      </c>
      <c r="E27" s="42">
        <f>INDEX('8oferty s.'!B4:G29,MATCH(24,B4:B29,0),3)</f>
        <v>33</v>
      </c>
      <c r="F27" s="6">
        <f>INDEX('8oferty s.'!B4:G29,MATCH(24,B4:B29,0),4)</f>
        <v>42</v>
      </c>
      <c r="G27" s="42">
        <f>INDEX('8oferty s.'!B4:G29,MATCH(24,B4:B29,0),5)</f>
        <v>69</v>
      </c>
      <c r="H27" s="6">
        <f>INDEX('8oferty s.'!B4:G29,MATCH(24,B4:B29,0),6)</f>
        <v>6</v>
      </c>
    </row>
    <row r="28" spans="2:8" x14ac:dyDescent="0.2">
      <c r="B28" s="6">
        <f>RANK('8oferty s.'!C28,'8oferty s.'!$C$4:'8oferty s.'!$C$29,1)+COUNTIF('8oferty s.'!$C$4:'8oferty s.'!C28,'8oferty s.'!C28)-1</f>
        <v>6</v>
      </c>
      <c r="C28" s="5" t="str">
        <f>INDEX('8oferty s.'!B4:G29,MATCH(25,B4:B29,0),1)</f>
        <v>jasielski</v>
      </c>
      <c r="D28" s="6">
        <f>INDEX('8oferty s.'!B4:G29,MATCH(25,B4:B29,0),2)</f>
        <v>79</v>
      </c>
      <c r="E28" s="42">
        <f>INDEX('8oferty s.'!B4:G29,MATCH(25,B4:B29,0),3)</f>
        <v>58</v>
      </c>
      <c r="F28" s="6">
        <f>INDEX('8oferty s.'!B4:G29,MATCH(25,B4:B29,0),4)</f>
        <v>21</v>
      </c>
      <c r="G28" s="42">
        <f>INDEX('8oferty s.'!B4:G29,MATCH(25,B4:B29,0),5)</f>
        <v>89</v>
      </c>
      <c r="H28" s="6">
        <f>INDEX('8oferty s.'!B4:G29,MATCH(25,B4:B29,0),6)</f>
        <v>-10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1015</v>
      </c>
      <c r="E29" s="44">
        <f>INDEX('8oferty s.'!B4:G29,MATCH(26,B4:B29,0),3)</f>
        <v>993</v>
      </c>
      <c r="F29" s="40">
        <f>INDEX('8oferty s.'!B4:G29,MATCH(26,B4:B29,0),4)</f>
        <v>22</v>
      </c>
      <c r="G29" s="44">
        <f>INDEX('8oferty s.'!B4:G29,MATCH(26,B4:B29,0),5)</f>
        <v>1259</v>
      </c>
      <c r="H29" s="40">
        <f>INDEX('8oferty s.'!B4:G29,MATCH(26,B4:B29,0),6)</f>
        <v>-244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70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71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93</v>
      </c>
      <c r="D3" s="38" t="s">
        <v>74</v>
      </c>
      <c r="E3" s="37" t="s">
        <v>28</v>
      </c>
      <c r="F3" s="38" t="s">
        <v>92</v>
      </c>
      <c r="G3" s="37" t="s">
        <v>26</v>
      </c>
    </row>
    <row r="4" spans="2:11" x14ac:dyDescent="0.2">
      <c r="B4" s="5" t="s">
        <v>0</v>
      </c>
      <c r="C4" s="28">
        <v>17</v>
      </c>
      <c r="D4" s="42">
        <v>24</v>
      </c>
      <c r="E4" s="28">
        <f t="shared" ref="E4:E28" si="0">SUM(C4)-D4</f>
        <v>-7</v>
      </c>
      <c r="F4" s="42">
        <v>19</v>
      </c>
      <c r="G4" s="28">
        <f t="shared" ref="G4:G28" si="1">SUM(C4)-F4</f>
        <v>-2</v>
      </c>
      <c r="H4" s="7"/>
    </row>
    <row r="5" spans="2:11" x14ac:dyDescent="0.2">
      <c r="B5" s="5" t="s">
        <v>1</v>
      </c>
      <c r="C5" s="28">
        <v>3</v>
      </c>
      <c r="D5" s="42">
        <v>8</v>
      </c>
      <c r="E5" s="28">
        <f t="shared" si="0"/>
        <v>-5</v>
      </c>
      <c r="F5" s="42">
        <v>6</v>
      </c>
      <c r="G5" s="28">
        <f t="shared" si="1"/>
        <v>-3</v>
      </c>
      <c r="H5" s="7"/>
    </row>
    <row r="6" spans="2:11" x14ac:dyDescent="0.2">
      <c r="B6" s="5" t="s">
        <v>2</v>
      </c>
      <c r="C6" s="28">
        <v>220</v>
      </c>
      <c r="D6" s="42">
        <v>140</v>
      </c>
      <c r="E6" s="28">
        <f t="shared" si="0"/>
        <v>80</v>
      </c>
      <c r="F6" s="42">
        <v>183</v>
      </c>
      <c r="G6" s="28">
        <f t="shared" si="1"/>
        <v>37</v>
      </c>
      <c r="H6" s="7"/>
    </row>
    <row r="7" spans="2:11" x14ac:dyDescent="0.2">
      <c r="B7" s="5" t="s">
        <v>3</v>
      </c>
      <c r="C7" s="28">
        <v>66</v>
      </c>
      <c r="D7" s="42">
        <v>98</v>
      </c>
      <c r="E7" s="28">
        <f t="shared" si="0"/>
        <v>-32</v>
      </c>
      <c r="F7" s="42">
        <v>61</v>
      </c>
      <c r="G7" s="28">
        <f t="shared" si="1"/>
        <v>5</v>
      </c>
      <c r="H7" s="7"/>
    </row>
    <row r="8" spans="2:11" x14ac:dyDescent="0.2">
      <c r="B8" s="5" t="s">
        <v>4</v>
      </c>
      <c r="C8" s="28">
        <v>168</v>
      </c>
      <c r="D8" s="42">
        <v>164</v>
      </c>
      <c r="E8" s="28">
        <f t="shared" si="0"/>
        <v>4</v>
      </c>
      <c r="F8" s="42">
        <v>120</v>
      </c>
      <c r="G8" s="28">
        <f t="shared" si="1"/>
        <v>48</v>
      </c>
      <c r="H8" s="7"/>
    </row>
    <row r="9" spans="2:11" x14ac:dyDescent="0.2">
      <c r="B9" s="5" t="s">
        <v>5</v>
      </c>
      <c r="C9" s="28">
        <v>55</v>
      </c>
      <c r="D9" s="42">
        <v>79</v>
      </c>
      <c r="E9" s="28">
        <f t="shared" si="0"/>
        <v>-24</v>
      </c>
      <c r="F9" s="42">
        <v>56</v>
      </c>
      <c r="G9" s="28">
        <f t="shared" si="1"/>
        <v>-1</v>
      </c>
      <c r="H9" s="7"/>
    </row>
    <row r="10" spans="2:11" x14ac:dyDescent="0.2">
      <c r="B10" s="9" t="s">
        <v>6</v>
      </c>
      <c r="C10" s="28">
        <v>104</v>
      </c>
      <c r="D10" s="42">
        <v>91</v>
      </c>
      <c r="E10" s="28">
        <f t="shared" si="0"/>
        <v>13</v>
      </c>
      <c r="F10" s="42">
        <v>67</v>
      </c>
      <c r="G10" s="28">
        <f t="shared" si="1"/>
        <v>37</v>
      </c>
      <c r="H10" s="7"/>
    </row>
    <row r="11" spans="2:11" x14ac:dyDescent="0.2">
      <c r="B11" s="5" t="s">
        <v>7</v>
      </c>
      <c r="C11" s="28">
        <v>21</v>
      </c>
      <c r="D11" s="42">
        <v>36</v>
      </c>
      <c r="E11" s="28">
        <f t="shared" si="0"/>
        <v>-15</v>
      </c>
      <c r="F11" s="42">
        <v>42</v>
      </c>
      <c r="G11" s="28">
        <f t="shared" si="1"/>
        <v>-21</v>
      </c>
      <c r="H11" s="7"/>
    </row>
    <row r="12" spans="2:11" x14ac:dyDescent="0.2">
      <c r="B12" s="5" t="s">
        <v>8</v>
      </c>
      <c r="C12" s="28">
        <v>66</v>
      </c>
      <c r="D12" s="42">
        <v>54</v>
      </c>
      <c r="E12" s="28">
        <f t="shared" si="0"/>
        <v>12</v>
      </c>
      <c r="F12" s="42">
        <v>72</v>
      </c>
      <c r="G12" s="28">
        <f t="shared" si="1"/>
        <v>-6</v>
      </c>
      <c r="H12" s="7"/>
    </row>
    <row r="13" spans="2:11" x14ac:dyDescent="0.2">
      <c r="B13" s="5" t="s">
        <v>9</v>
      </c>
      <c r="C13" s="28">
        <v>44</v>
      </c>
      <c r="D13" s="42">
        <v>41</v>
      </c>
      <c r="E13" s="28">
        <f t="shared" si="0"/>
        <v>3</v>
      </c>
      <c r="F13" s="42">
        <v>91</v>
      </c>
      <c r="G13" s="28">
        <f t="shared" si="1"/>
        <v>-47</v>
      </c>
      <c r="H13" s="7"/>
    </row>
    <row r="14" spans="2:11" x14ac:dyDescent="0.2">
      <c r="B14" s="5" t="s">
        <v>10</v>
      </c>
      <c r="C14" s="28">
        <v>24</v>
      </c>
      <c r="D14" s="42">
        <v>37</v>
      </c>
      <c r="E14" s="28">
        <f t="shared" si="0"/>
        <v>-13</v>
      </c>
      <c r="F14" s="42">
        <v>51</v>
      </c>
      <c r="G14" s="28">
        <f t="shared" si="1"/>
        <v>-27</v>
      </c>
      <c r="H14" s="7"/>
    </row>
    <row r="15" spans="2:11" x14ac:dyDescent="0.2">
      <c r="B15" s="5" t="s">
        <v>11</v>
      </c>
      <c r="C15" s="28">
        <v>314</v>
      </c>
      <c r="D15" s="42">
        <v>362</v>
      </c>
      <c r="E15" s="28">
        <f t="shared" si="0"/>
        <v>-48</v>
      </c>
      <c r="F15" s="42">
        <v>248</v>
      </c>
      <c r="G15" s="28">
        <f t="shared" si="1"/>
        <v>66</v>
      </c>
      <c r="H15" s="7"/>
    </row>
    <row r="16" spans="2:11" x14ac:dyDescent="0.2">
      <c r="B16" s="5" t="s">
        <v>12</v>
      </c>
      <c r="C16" s="28">
        <v>70</v>
      </c>
      <c r="D16" s="42">
        <v>76</v>
      </c>
      <c r="E16" s="28">
        <f t="shared" si="0"/>
        <v>-6</v>
      </c>
      <c r="F16" s="42">
        <v>76</v>
      </c>
      <c r="G16" s="28">
        <f t="shared" si="1"/>
        <v>-6</v>
      </c>
      <c r="H16" s="7"/>
    </row>
    <row r="17" spans="2:8" x14ac:dyDescent="0.2">
      <c r="B17" s="5" t="s">
        <v>13</v>
      </c>
      <c r="C17" s="28">
        <v>6</v>
      </c>
      <c r="D17" s="42">
        <v>6</v>
      </c>
      <c r="E17" s="28">
        <f t="shared" si="0"/>
        <v>0</v>
      </c>
      <c r="F17" s="42">
        <v>7</v>
      </c>
      <c r="G17" s="28">
        <f t="shared" si="1"/>
        <v>-1</v>
      </c>
      <c r="H17" s="7"/>
    </row>
    <row r="18" spans="2:8" x14ac:dyDescent="0.2">
      <c r="B18" s="5" t="s">
        <v>14</v>
      </c>
      <c r="C18" s="28">
        <v>174</v>
      </c>
      <c r="D18" s="42">
        <v>156</v>
      </c>
      <c r="E18" s="28">
        <f t="shared" si="0"/>
        <v>18</v>
      </c>
      <c r="F18" s="42">
        <v>141</v>
      </c>
      <c r="G18" s="28">
        <f t="shared" si="1"/>
        <v>33</v>
      </c>
      <c r="H18" s="7"/>
    </row>
    <row r="19" spans="2:8" x14ac:dyDescent="0.2">
      <c r="B19" s="5" t="s">
        <v>15</v>
      </c>
      <c r="C19" s="28">
        <v>86</v>
      </c>
      <c r="D19" s="42">
        <v>81</v>
      </c>
      <c r="E19" s="28">
        <f t="shared" si="0"/>
        <v>5</v>
      </c>
      <c r="F19" s="42">
        <v>107</v>
      </c>
      <c r="G19" s="28">
        <f t="shared" si="1"/>
        <v>-21</v>
      </c>
      <c r="H19" s="7"/>
    </row>
    <row r="20" spans="2:8" x14ac:dyDescent="0.2">
      <c r="B20" s="5" t="s">
        <v>16</v>
      </c>
      <c r="C20" s="28">
        <v>59</v>
      </c>
      <c r="D20" s="42">
        <v>114</v>
      </c>
      <c r="E20" s="28">
        <f t="shared" si="0"/>
        <v>-55</v>
      </c>
      <c r="F20" s="42">
        <v>111</v>
      </c>
      <c r="G20" s="28">
        <f t="shared" si="1"/>
        <v>-52</v>
      </c>
      <c r="H20" s="7"/>
    </row>
    <row r="21" spans="2:8" x14ac:dyDescent="0.2">
      <c r="B21" s="5" t="s">
        <v>17</v>
      </c>
      <c r="C21" s="28">
        <v>24</v>
      </c>
      <c r="D21" s="42">
        <v>29</v>
      </c>
      <c r="E21" s="28">
        <f t="shared" si="0"/>
        <v>-5</v>
      </c>
      <c r="F21" s="42">
        <v>57</v>
      </c>
      <c r="G21" s="28">
        <f t="shared" si="1"/>
        <v>-33</v>
      </c>
      <c r="H21" s="7"/>
    </row>
    <row r="22" spans="2:8" x14ac:dyDescent="0.2">
      <c r="B22" s="5" t="s">
        <v>18</v>
      </c>
      <c r="C22" s="28">
        <v>79</v>
      </c>
      <c r="D22" s="42">
        <v>91</v>
      </c>
      <c r="E22" s="28">
        <f t="shared" si="0"/>
        <v>-12</v>
      </c>
      <c r="F22" s="42">
        <v>98</v>
      </c>
      <c r="G22" s="28">
        <f t="shared" si="1"/>
        <v>-19</v>
      </c>
      <c r="H22" s="7"/>
    </row>
    <row r="23" spans="2:8" x14ac:dyDescent="0.2">
      <c r="B23" s="5" t="s">
        <v>19</v>
      </c>
      <c r="C23" s="28">
        <v>171</v>
      </c>
      <c r="D23" s="42">
        <v>38</v>
      </c>
      <c r="E23" s="28">
        <f t="shared" si="0"/>
        <v>133</v>
      </c>
      <c r="F23" s="42">
        <v>116</v>
      </c>
      <c r="G23" s="28">
        <f t="shared" si="1"/>
        <v>55</v>
      </c>
      <c r="H23" s="7"/>
    </row>
    <row r="24" spans="2:8" x14ac:dyDescent="0.2">
      <c r="B24" s="5" t="s">
        <v>20</v>
      </c>
      <c r="C24" s="28">
        <v>45</v>
      </c>
      <c r="D24" s="42">
        <v>84</v>
      </c>
      <c r="E24" s="28">
        <f t="shared" si="0"/>
        <v>-39</v>
      </c>
      <c r="F24" s="42">
        <v>45</v>
      </c>
      <c r="G24" s="28">
        <f t="shared" si="1"/>
        <v>0</v>
      </c>
      <c r="H24" s="7"/>
    </row>
    <row r="25" spans="2:8" x14ac:dyDescent="0.2">
      <c r="B25" s="5" t="s">
        <v>21</v>
      </c>
      <c r="C25" s="28">
        <v>43</v>
      </c>
      <c r="D25" s="42">
        <v>31</v>
      </c>
      <c r="E25" s="28">
        <f t="shared" si="0"/>
        <v>12</v>
      </c>
      <c r="F25" s="42">
        <v>37</v>
      </c>
      <c r="G25" s="28">
        <f t="shared" si="1"/>
        <v>6</v>
      </c>
      <c r="H25" s="7"/>
    </row>
    <row r="26" spans="2:8" x14ac:dyDescent="0.2">
      <c r="B26" s="5" t="s">
        <v>22</v>
      </c>
      <c r="C26" s="28">
        <v>58</v>
      </c>
      <c r="D26" s="42">
        <v>51</v>
      </c>
      <c r="E26" s="28">
        <f t="shared" si="0"/>
        <v>7</v>
      </c>
      <c r="F26" s="42">
        <v>26</v>
      </c>
      <c r="G26" s="28">
        <f t="shared" si="1"/>
        <v>32</v>
      </c>
      <c r="H26" s="7"/>
    </row>
    <row r="27" spans="2:8" x14ac:dyDescent="0.2">
      <c r="B27" s="5" t="s">
        <v>23</v>
      </c>
      <c r="C27" s="28">
        <v>216</v>
      </c>
      <c r="D27" s="42">
        <v>247</v>
      </c>
      <c r="E27" s="28">
        <f t="shared" si="0"/>
        <v>-31</v>
      </c>
      <c r="F27" s="42">
        <v>394</v>
      </c>
      <c r="G27" s="28">
        <f t="shared" si="1"/>
        <v>-178</v>
      </c>
      <c r="H27" s="7"/>
    </row>
    <row r="28" spans="2:8" x14ac:dyDescent="0.2">
      <c r="B28" s="5" t="s">
        <v>24</v>
      </c>
      <c r="C28" s="28">
        <v>49</v>
      </c>
      <c r="D28" s="42">
        <v>66</v>
      </c>
      <c r="E28" s="28">
        <f t="shared" si="0"/>
        <v>-17</v>
      </c>
      <c r="F28" s="42">
        <v>58</v>
      </c>
      <c r="G28" s="28">
        <f t="shared" si="1"/>
        <v>-9</v>
      </c>
      <c r="H28" s="7"/>
    </row>
    <row r="29" spans="2:8" ht="15" x14ac:dyDescent="0.25">
      <c r="B29" s="39" t="s">
        <v>25</v>
      </c>
      <c r="C29" s="48">
        <f>SUM(C4:C28)</f>
        <v>2182</v>
      </c>
      <c r="D29" s="44">
        <f>SUM(D4:D28)</f>
        <v>2204</v>
      </c>
      <c r="E29" s="48">
        <f>SUM(E4:E28)</f>
        <v>-22</v>
      </c>
      <c r="F29" s="44">
        <f>SUM(F4:F28)</f>
        <v>2289</v>
      </c>
      <c r="G29" s="48">
        <f>SUM(G4:G28)</f>
        <v>-107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69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08-'24 r.</v>
      </c>
      <c r="E3" s="36" t="str">
        <f>T('8oferty s.'!D3)</f>
        <v>liczba ofert w 07-'24 r.</v>
      </c>
      <c r="F3" s="36" t="str">
        <f>T('8oferty s.'!E3)</f>
        <v>wzrost/spadek do poprzedniego  miesiąca</v>
      </c>
      <c r="G3" s="36" t="str">
        <f>T('8oferty s.'!F3)</f>
        <v>liczba ofert w 08-'23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3</v>
      </c>
      <c r="C4" s="5" t="str">
        <f>INDEX('9of st. k.'!B4:G29,MATCH(1,B4:B29,0),1)</f>
        <v>brzozowski</v>
      </c>
      <c r="D4" s="24">
        <f>INDEX('9of st. k.'!B4:G29,MATCH(1,B4:B29,0),2)</f>
        <v>3</v>
      </c>
      <c r="E4" s="42">
        <f>INDEX('9of st. k.'!B4:G29,MATCH(1,B4:B29,0),3)</f>
        <v>8</v>
      </c>
      <c r="F4" s="6">
        <f>INDEX('9of st. k.'!B4:G29,MATCH(1,B4:B29,0),4)</f>
        <v>-5</v>
      </c>
      <c r="G4" s="42">
        <f>INDEX('9of st. k.'!B4:G29,MATCH(1,B4:B29,0),5)</f>
        <v>6</v>
      </c>
      <c r="H4" s="6">
        <f>INDEX('9of st. k.'!B4:G29,MATCH(1,B4:B29,0),6)</f>
        <v>-3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przemyski</v>
      </c>
      <c r="D5" s="6">
        <f>INDEX('9of st. k.'!B4:G29,MATCH(2,B4:B29,0),2)</f>
        <v>6</v>
      </c>
      <c r="E5" s="42">
        <f>INDEX('9of st. k.'!B4:G29,MATCH(2,B4:B29,0),3)</f>
        <v>6</v>
      </c>
      <c r="F5" s="6">
        <f>INDEX('9of st. k.'!B4:G29,MATCH(2,B4:B29,0),4)</f>
        <v>0</v>
      </c>
      <c r="G5" s="42">
        <f>INDEX('9of st. k.'!B4:G29,MATCH(2,B4:B29,0),5)</f>
        <v>7</v>
      </c>
      <c r="H5" s="6">
        <f>INDEX('9of st. k.'!B4:G29,MATCH(2,B4:B29,0),6)</f>
        <v>-1</v>
      </c>
    </row>
    <row r="6" spans="2:8" x14ac:dyDescent="0.2">
      <c r="B6" s="6">
        <f>RANK('9of st. k.'!C6,'9of st. k.'!$C$4:'9of st. k.'!$C$29,1)+COUNTIF('9of st. k.'!$C$4:'9of st. k.'!C6,'9of st. k.'!C6)-1</f>
        <v>24</v>
      </c>
      <c r="C6" s="5" t="str">
        <f>INDEX('9of st. k.'!B4:G29,MATCH(3,B4:B29,0),1)</f>
        <v>bieszczadzki</v>
      </c>
      <c r="D6" s="6">
        <f>INDEX('9of st. k.'!B4:G29,MATCH(3,B4:B29,0),2)</f>
        <v>17</v>
      </c>
      <c r="E6" s="42">
        <f>INDEX('9of st. k.'!B4:G29,MATCH(3,B4:B29,0),3)</f>
        <v>24</v>
      </c>
      <c r="F6" s="6">
        <f>INDEX('9of st. k.'!B4:G29,MATCH(3,B4:B29,0),4)</f>
        <v>-7</v>
      </c>
      <c r="G6" s="42">
        <f>INDEX('9of st. k.'!B4:G29,MATCH(3,B4:B29,0),5)</f>
        <v>19</v>
      </c>
      <c r="H6" s="6">
        <f>INDEX('9of st. k.'!B4:G29,MATCH(3,B4:B29,0),6)</f>
        <v>-2</v>
      </c>
    </row>
    <row r="7" spans="2:8" x14ac:dyDescent="0.2">
      <c r="B7" s="6">
        <f>RANK('9of st. k.'!C7,'9of st. k.'!$C$4:'9of st. k.'!$C$29,1)+COUNTIF('9of st. k.'!$C$4:'9of st. k.'!C7,'9of st. k.'!C7)-1</f>
        <v>14</v>
      </c>
      <c r="C7" s="5" t="str">
        <f>INDEX('9of st. k.'!B4:G29,MATCH(4,B4:B29,0),1)</f>
        <v>leski</v>
      </c>
      <c r="D7" s="6">
        <f>INDEX('9of st. k.'!B4:G29,MATCH(4,B4:B29,0),2)</f>
        <v>21</v>
      </c>
      <c r="E7" s="42">
        <f>INDEX('9of st. k.'!B4:G29,MATCH(4,B4:B29,0),3)</f>
        <v>36</v>
      </c>
      <c r="F7" s="6">
        <f>INDEX('9of st. k.'!B4:G29,MATCH(4,B4:B29,0),4)</f>
        <v>-15</v>
      </c>
      <c r="G7" s="42">
        <f>INDEX('9of st. k.'!B4:G29,MATCH(4,B4:B29,0),5)</f>
        <v>42</v>
      </c>
      <c r="H7" s="6">
        <f>INDEX('9of st. k.'!B4:G29,MATCH(4,B4:B29,0),6)</f>
        <v>-21</v>
      </c>
    </row>
    <row r="8" spans="2:8" x14ac:dyDescent="0.2">
      <c r="B8" s="6">
        <f>RANK('9of st. k.'!C8,'9of st. k.'!$C$4:'9of st. k.'!$C$29,1)+COUNTIF('9of st. k.'!$C$4:'9of st. k.'!C8,'9of st. k.'!C8)-1</f>
        <v>20</v>
      </c>
      <c r="C8" s="5" t="str">
        <f>INDEX('9of st. k.'!B4:G29,MATCH(5,B4:B29,0),1)</f>
        <v>łańcucki</v>
      </c>
      <c r="D8" s="6">
        <f>INDEX('9of st. k.'!B4:G29,MATCH(5,B4:B29,0),2)</f>
        <v>24</v>
      </c>
      <c r="E8" s="42">
        <f>INDEX('9of st. k.'!B4:G29,MATCH(5,B4:B29,0),3)</f>
        <v>37</v>
      </c>
      <c r="F8" s="6">
        <f>INDEX('9of st. k.'!B4:G29,MATCH(5,B4:B29,0),4)</f>
        <v>-13</v>
      </c>
      <c r="G8" s="42">
        <f>INDEX('9of st. k.'!B4:G29,MATCH(5,B4:B29,0),5)</f>
        <v>51</v>
      </c>
      <c r="H8" s="6">
        <f>INDEX('9of st. k.'!B4:G29,MATCH(5,B4:B29,0),6)</f>
        <v>-27</v>
      </c>
    </row>
    <row r="9" spans="2:8" x14ac:dyDescent="0.2">
      <c r="B9" s="6">
        <f>RANK('9of st. k.'!C9,'9of st. k.'!$C$4:'9of st. k.'!$C$29,1)+COUNTIF('9of st. k.'!$C$4:'9of st. k.'!C9,'9of st. k.'!C9)-1</f>
        <v>11</v>
      </c>
      <c r="C9" s="5" t="str">
        <f>INDEX('9of st. k.'!B4:G29,MATCH(6,B4:B29,0),1)</f>
        <v>sanocki</v>
      </c>
      <c r="D9" s="6">
        <f>INDEX('9of st. k.'!B4:G29,MATCH(6,B4:B29,0),2)</f>
        <v>24</v>
      </c>
      <c r="E9" s="42">
        <f>INDEX('9of st. k.'!B4:G29,MATCH(6,B4:B29,0),3)</f>
        <v>29</v>
      </c>
      <c r="F9" s="6">
        <f>INDEX('9of st. k.'!B4:G29,MATCH(6,B4:B29,0),4)</f>
        <v>-5</v>
      </c>
      <c r="G9" s="42">
        <f>INDEX('9of st. k.'!B4:G29,MATCH(6,B4:B29,0),5)</f>
        <v>57</v>
      </c>
      <c r="H9" s="6">
        <f>INDEX('9of st. k.'!B4:G29,MATCH(6,B4:B29,0),6)</f>
        <v>-33</v>
      </c>
    </row>
    <row r="10" spans="2:8" x14ac:dyDescent="0.2">
      <c r="B10" s="6">
        <f>RANK('9of st. k.'!C10,'9of st. k.'!$C$4:'9of st. k.'!$C$29,1)+COUNTIF('9of st. k.'!$C$4:'9of st. k.'!C10,'9of st. k.'!C10)-1</f>
        <v>19</v>
      </c>
      <c r="C10" s="9" t="str">
        <f>INDEX('9of st. k.'!B4:G29,MATCH(7,B4:B29,0),1)</f>
        <v>Krosno</v>
      </c>
      <c r="D10" s="6">
        <f>INDEX('9of st. k.'!B4:G29,MATCH(7,B4:B29,0),2)</f>
        <v>43</v>
      </c>
      <c r="E10" s="42">
        <f>INDEX('9of st. k.'!B4:G29,MATCH(7,B4:B29,0),3)</f>
        <v>31</v>
      </c>
      <c r="F10" s="6">
        <f>INDEX('9of st. k.'!B4:G29,MATCH(7,B4:B29,0),4)</f>
        <v>12</v>
      </c>
      <c r="G10" s="42">
        <f>INDEX('9of st. k.'!B4:G29,MATCH(7,B4:B29,0),5)</f>
        <v>37</v>
      </c>
      <c r="H10" s="6">
        <f>INDEX('9of st. k.'!B4:G29,MATCH(7,B4:B29,0),6)</f>
        <v>6</v>
      </c>
    </row>
    <row r="11" spans="2:8" x14ac:dyDescent="0.2">
      <c r="B11" s="6">
        <f>RANK('9of st. k.'!C11,'9of st. k.'!$C$4:'9of st. k.'!$C$29,1)+COUNTIF('9of st. k.'!$C$4:'9of st. k.'!C11,'9of st. k.'!C11)-1</f>
        <v>4</v>
      </c>
      <c r="C11" s="5" t="str">
        <f>INDEX('9of st. k.'!B4:G29,MATCH(8,B4:B29,0),1)</f>
        <v>lubaczowski</v>
      </c>
      <c r="D11" s="6">
        <f>INDEX('9of st. k.'!B4:G29,MATCH(8,B4:B29,0),2)</f>
        <v>44</v>
      </c>
      <c r="E11" s="42">
        <f>INDEX('9of st. k.'!B4:G29,MATCH(8,B4:B29,0),3)</f>
        <v>41</v>
      </c>
      <c r="F11" s="6">
        <f>INDEX('9of st. k.'!B4:G29,MATCH(8,B4:B29,0),4)</f>
        <v>3</v>
      </c>
      <c r="G11" s="42">
        <f>INDEX('9of st. k.'!B4:G29,MATCH(8,B4:B29,0),5)</f>
        <v>91</v>
      </c>
      <c r="H11" s="6">
        <f>INDEX('9of st. k.'!B4:G29,MATCH(8,B4:B29,0),6)</f>
        <v>-47</v>
      </c>
    </row>
    <row r="12" spans="2:8" x14ac:dyDescent="0.2">
      <c r="B12" s="6">
        <f>RANK('9of st. k.'!C12,'9of st. k.'!$C$4:'9of st. k.'!$C$29,1)+COUNTIF('9of st. k.'!$C$4:'9of st. k.'!C12,'9of st. k.'!C12)-1</f>
        <v>15</v>
      </c>
      <c r="C12" s="5" t="str">
        <f>INDEX('9of st. k.'!B4:G29,MATCH(9,B4:B29,0),1)</f>
        <v xml:space="preserve">tarnobrzeski </v>
      </c>
      <c r="D12" s="6">
        <f>INDEX('9of st. k.'!B4:G29,MATCH(9,B4:B29,0),2)</f>
        <v>45</v>
      </c>
      <c r="E12" s="42">
        <f>INDEX('9of st. k.'!B4:G29,MATCH(9,B4:B29,0),3)</f>
        <v>84</v>
      </c>
      <c r="F12" s="6">
        <f>INDEX('9of st. k.'!B4:G29,MATCH(9,B4:B29,0),4)</f>
        <v>-39</v>
      </c>
      <c r="G12" s="42">
        <f>INDEX('9of st. k.'!B4:G29,MATCH(9,B4:B29,0),5)</f>
        <v>45</v>
      </c>
      <c r="H12" s="6">
        <f>INDEX('9of st. k.'!B4:G29,MATCH(9,B4:B29,0),6)</f>
        <v>0</v>
      </c>
    </row>
    <row r="13" spans="2:8" x14ac:dyDescent="0.2">
      <c r="B13" s="6">
        <f>RANK('9of st. k.'!C13,'9of st. k.'!$C$4:'9of st. k.'!$C$29,1)+COUNTIF('9of st. k.'!$C$4:'9of st. k.'!C13,'9of st. k.'!C13)-1</f>
        <v>8</v>
      </c>
      <c r="C13" s="5" t="str">
        <f>INDEX('9of st. k.'!B4:G29,MATCH(10,B4:B29,0),1)</f>
        <v>Tarnobrzeg</v>
      </c>
      <c r="D13" s="6">
        <f>INDEX('9of st. k.'!B4:G29,MATCH(10,B4:B29,0),2)</f>
        <v>49</v>
      </c>
      <c r="E13" s="42">
        <f>INDEX('9of st. k.'!B4:G29,MATCH(10,B4:B29,0),3)</f>
        <v>66</v>
      </c>
      <c r="F13" s="6">
        <f>INDEX('9of st. k.'!B4:G29,MATCH(10,B4:B29,0),4)</f>
        <v>-17</v>
      </c>
      <c r="G13" s="42">
        <f>INDEX('9of st. k.'!B4:G29,MATCH(10,B4:B29,0),5)</f>
        <v>58</v>
      </c>
      <c r="H13" s="6">
        <f>INDEX('9of st. k.'!B4:G29,MATCH(10,B4:B29,0),6)</f>
        <v>-9</v>
      </c>
    </row>
    <row r="14" spans="2:8" x14ac:dyDescent="0.2">
      <c r="B14" s="6">
        <f>RANK('9of st. k.'!C14,'9of st. k.'!$C$4:'9of st. k.'!$C$29,1)+COUNTIF('9of st. k.'!$C$4:'9of st. k.'!C14,'9of st. k.'!C14)-1</f>
        <v>5</v>
      </c>
      <c r="C14" s="5" t="str">
        <f>INDEX('9of st. k.'!B4:G29,MATCH(11,B4:B29,0),1)</f>
        <v>kolbuszowski</v>
      </c>
      <c r="D14" s="6">
        <f>INDEX('9of st. k.'!B4:G29,MATCH(11,B4:B29,0),2)</f>
        <v>55</v>
      </c>
      <c r="E14" s="42">
        <f>INDEX('9of st. k.'!B4:G29,MATCH(11,B4:B29,0),3)</f>
        <v>79</v>
      </c>
      <c r="F14" s="6">
        <f>INDEX('9of st. k.'!B4:G29,MATCH(11,B4:B29,0),4)</f>
        <v>-24</v>
      </c>
      <c r="G14" s="42">
        <f>INDEX('9of st. k.'!B4:G29,MATCH(11,B4:B29,0),5)</f>
        <v>56</v>
      </c>
      <c r="H14" s="6">
        <f>INDEX('9of st. k.'!B4:G29,MATCH(11,B4:B29,0),6)</f>
        <v>-1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Przemyśl</v>
      </c>
      <c r="D15" s="6">
        <f>INDEX('9of st. k.'!B4:G29,MATCH(12,B4:B29,0),2)</f>
        <v>58</v>
      </c>
      <c r="E15" s="42">
        <f>INDEX('9of st. k.'!B4:G29,MATCH(12,B4:B29,0),3)</f>
        <v>51</v>
      </c>
      <c r="F15" s="6">
        <f>INDEX('9of st. k.'!B4:G29,MATCH(12,B4:B29,0),4)</f>
        <v>7</v>
      </c>
      <c r="G15" s="42">
        <f>INDEX('9of st. k.'!B4:G29,MATCH(12,B4:B29,0),5)</f>
        <v>26</v>
      </c>
      <c r="H15" s="6">
        <f>INDEX('9of st. k.'!B4:G29,MATCH(12,B4:B29,0),6)</f>
        <v>32</v>
      </c>
    </row>
    <row r="16" spans="2:8" x14ac:dyDescent="0.2">
      <c r="B16" s="6">
        <f>RANK('9of st. k.'!C16,'9of st. k.'!$C$4:'9of st. k.'!$C$29,1)+COUNTIF('9of st. k.'!$C$4:'9of st. k.'!C16,'9of st. k.'!C16)-1</f>
        <v>16</v>
      </c>
      <c r="C16" s="5" t="str">
        <f>INDEX('9of st. k.'!B4:G29,MATCH(13,B4:B29,0),1)</f>
        <v>rzeszowski</v>
      </c>
      <c r="D16" s="6">
        <f>INDEX('9of st. k.'!B4:G29,MATCH(13,B4:B29,0),2)</f>
        <v>59</v>
      </c>
      <c r="E16" s="42">
        <f>INDEX('9of st. k.'!B4:G29,MATCH(13,B4:B29,0),3)</f>
        <v>114</v>
      </c>
      <c r="F16" s="6">
        <f>INDEX('9of st. k.'!B4:G29,MATCH(13,B4:B29,0),4)</f>
        <v>-55</v>
      </c>
      <c r="G16" s="42">
        <f>INDEX('9of st. k.'!B4:G29,MATCH(13,B4:B29,0),5)</f>
        <v>111</v>
      </c>
      <c r="H16" s="6">
        <f>INDEX('9of st. k.'!B4:G29,MATCH(13,B4:B29,0),6)</f>
        <v>-52</v>
      </c>
    </row>
    <row r="17" spans="2:8" x14ac:dyDescent="0.2">
      <c r="B17" s="6">
        <f>RANK('9of st. k.'!C17,'9of st. k.'!$C$4:'9of st. k.'!$C$29,1)+COUNTIF('9of st. k.'!$C$4:'9of st. k.'!C17,'9of st. k.'!C17)-1</f>
        <v>2</v>
      </c>
      <c r="C17" s="5" t="str">
        <f>INDEX('9of st. k.'!B4:G29,MATCH(14,B4:B29,0),1)</f>
        <v>jarosławski</v>
      </c>
      <c r="D17" s="6">
        <f>INDEX('9of st. k.'!B4:G29,MATCH(14,B4:B29,0),2)</f>
        <v>66</v>
      </c>
      <c r="E17" s="42">
        <f>INDEX('9of st. k.'!B4:G29,MATCH(14,B4:B29,0),3)</f>
        <v>98</v>
      </c>
      <c r="F17" s="6">
        <f>INDEX('9of st. k.'!B4:G29,MATCH(14,B4:B29,0),4)</f>
        <v>-32</v>
      </c>
      <c r="G17" s="42">
        <f>INDEX('9of st. k.'!B4:G29,MATCH(14,B4:B29,0),5)</f>
        <v>61</v>
      </c>
      <c r="H17" s="6">
        <f>INDEX('9of st. k.'!B4:G29,MATCH(14,B4:B29,0),6)</f>
        <v>5</v>
      </c>
    </row>
    <row r="18" spans="2:8" x14ac:dyDescent="0.2">
      <c r="B18" s="6">
        <f>RANK('9of st. k.'!C18,'9of st. k.'!$C$4:'9of st. k.'!$C$29,1)+COUNTIF('9of st. k.'!$C$4:'9of st. k.'!C18,'9of st. k.'!C18)-1</f>
        <v>22</v>
      </c>
      <c r="C18" s="5" t="str">
        <f>INDEX('9of st. k.'!B4:G29,MATCH(15,B4:B29,0),1)</f>
        <v>leżajski</v>
      </c>
      <c r="D18" s="6">
        <f>INDEX('9of st. k.'!B4:G29,MATCH(15,B4:B29,0),2)</f>
        <v>66</v>
      </c>
      <c r="E18" s="42">
        <f>INDEX('9of st. k.'!B4:G29,MATCH(15,B4:B29,0),3)</f>
        <v>54</v>
      </c>
      <c r="F18" s="6">
        <f>INDEX('9of st. k.'!B4:G29,MATCH(15,B4:B29,0),4)</f>
        <v>12</v>
      </c>
      <c r="G18" s="42">
        <f>INDEX('9of st. k.'!B4:G29,MATCH(15,B4:B29,0),5)</f>
        <v>72</v>
      </c>
      <c r="H18" s="6">
        <f>INDEX('9of st. k.'!B4:G29,MATCH(15,B4:B29,0),6)</f>
        <v>-6</v>
      </c>
    </row>
    <row r="19" spans="2:8" x14ac:dyDescent="0.2">
      <c r="B19" s="6">
        <f>RANK('9of st. k.'!C19,'9of st. k.'!$C$4:'9of st. k.'!$C$29,1)+COUNTIF('9of st. k.'!$C$4:'9of st. k.'!C19,'9of st. k.'!C19)-1</f>
        <v>18</v>
      </c>
      <c r="C19" s="5" t="str">
        <f>INDEX('9of st. k.'!B4:G29,MATCH(16,B4:B29,0),1)</f>
        <v>niżański</v>
      </c>
      <c r="D19" s="6">
        <f>INDEX('9of st. k.'!B4:G29,MATCH(16,B4:B29,0),2)</f>
        <v>70</v>
      </c>
      <c r="E19" s="42">
        <f>INDEX('9of st. k.'!B4:G29,MATCH(16,B4:B29,0),3)</f>
        <v>76</v>
      </c>
      <c r="F19" s="6">
        <f>INDEX('9of st. k.'!B4:G29,MATCH(16,B4:B29,0),4)</f>
        <v>-6</v>
      </c>
      <c r="G19" s="42">
        <f>INDEX('9of st. k.'!B4:G29,MATCH(16,B4:B29,0),5)</f>
        <v>76</v>
      </c>
      <c r="H19" s="6">
        <f>INDEX('9of st. k.'!B4:G29,MATCH(16,B4:B29,0),6)</f>
        <v>-6</v>
      </c>
    </row>
    <row r="20" spans="2:8" x14ac:dyDescent="0.2">
      <c r="B20" s="6">
        <f>RANK('9of st. k.'!C20,'9of st. k.'!$C$4:'9of st. k.'!$C$29,1)+COUNTIF('9of st. k.'!$C$4:'9of st. k.'!C20,'9of st. k.'!C20)-1</f>
        <v>13</v>
      </c>
      <c r="C20" s="5" t="str">
        <f>INDEX('9of st. k.'!B4:G29,MATCH(17,B4:B29,0),1)</f>
        <v>stalowowolski</v>
      </c>
      <c r="D20" s="6">
        <f>INDEX('9of st. k.'!B4:G29,MATCH(17,B4:B29,0),2)</f>
        <v>79</v>
      </c>
      <c r="E20" s="42">
        <f>INDEX('9of st. k.'!B4:G29,MATCH(17,B4:B29,0),3)</f>
        <v>91</v>
      </c>
      <c r="F20" s="6">
        <f>INDEX('9of st. k.'!B4:G29,MATCH(17,B4:B29,0),4)</f>
        <v>-12</v>
      </c>
      <c r="G20" s="42">
        <f>INDEX('9of st. k.'!B4:G29,MATCH(17,B4:B29,0),5)</f>
        <v>98</v>
      </c>
      <c r="H20" s="6">
        <f>INDEX('9of st. k.'!B4:G29,MATCH(17,B4:B29,0),6)</f>
        <v>-19</v>
      </c>
    </row>
    <row r="21" spans="2:8" x14ac:dyDescent="0.2">
      <c r="B21" s="6">
        <f>RANK('9of st. k.'!C21,'9of st. k.'!$C$4:'9of st. k.'!$C$29,1)+COUNTIF('9of st. k.'!$C$4:'9of st. k.'!C21,'9of st. k.'!C21)-1</f>
        <v>6</v>
      </c>
      <c r="C21" s="5" t="str">
        <f>INDEX('9of st. k.'!B4:G29,MATCH(18,B4:B29,0),1)</f>
        <v>ropczycko-sędziszowski</v>
      </c>
      <c r="D21" s="6">
        <f>INDEX('9of st. k.'!B4:G29,MATCH(18,B4:B29,0),2)</f>
        <v>86</v>
      </c>
      <c r="E21" s="42">
        <f>INDEX('9of st. k.'!B4:G29,MATCH(18,B4:B29,0),3)</f>
        <v>81</v>
      </c>
      <c r="F21" s="6">
        <f>INDEX('9of st. k.'!B4:G29,MATCH(18,B4:B29,0),4)</f>
        <v>5</v>
      </c>
      <c r="G21" s="42">
        <f>INDEX('9of st. k.'!B4:G29,MATCH(18,B4:B29,0),5)</f>
        <v>107</v>
      </c>
      <c r="H21" s="6">
        <f>INDEX('9of st. k.'!B4:G29,MATCH(18,B4:B29,0),6)</f>
        <v>-21</v>
      </c>
    </row>
    <row r="22" spans="2:8" x14ac:dyDescent="0.2">
      <c r="B22" s="6">
        <f>RANK('9of st. k.'!C22,'9of st. k.'!$C$4:'9of st. k.'!$C$29,1)+COUNTIF('9of st. k.'!$C$4:'9of st. k.'!C22,'9of st. k.'!C22)-1</f>
        <v>17</v>
      </c>
      <c r="C22" s="5" t="str">
        <f>INDEX('9of st. k.'!B4:G29,MATCH(19,B4:B29,0),1)</f>
        <v>krośnieński</v>
      </c>
      <c r="D22" s="6">
        <f>INDEX('9of st. k.'!B4:G29,MATCH(19,B4:B29,0),2)</f>
        <v>104</v>
      </c>
      <c r="E22" s="42">
        <f>INDEX('9of st. k.'!B4:G29,MATCH(19,B4:B29,0),3)</f>
        <v>91</v>
      </c>
      <c r="F22" s="6">
        <f>INDEX('9of st. k.'!B4:G29,MATCH(19,B4:B29,0),4)</f>
        <v>13</v>
      </c>
      <c r="G22" s="42">
        <f>INDEX('9of st. k.'!B4:G29,MATCH(19,B4:B29,0),5)</f>
        <v>67</v>
      </c>
      <c r="H22" s="6">
        <f>INDEX('9of st. k.'!B4:G29,MATCH(19,B4:B29,0),6)</f>
        <v>37</v>
      </c>
    </row>
    <row r="23" spans="2:8" x14ac:dyDescent="0.2">
      <c r="B23" s="6">
        <f>RANK('9of st. k.'!C23,'9of st. k.'!$C$4:'9of st. k.'!$C$29,1)+COUNTIF('9of st. k.'!$C$4:'9of st. k.'!C23,'9of st. k.'!C23)-1</f>
        <v>21</v>
      </c>
      <c r="C23" s="5" t="str">
        <f>INDEX('9of st. k.'!B4:G29,MATCH(20,B4:B29,0),1)</f>
        <v>jasielski</v>
      </c>
      <c r="D23" s="6">
        <f>INDEX('9of st. k.'!B4:G29,MATCH(20,B4:B29,0),2)</f>
        <v>168</v>
      </c>
      <c r="E23" s="42">
        <f>INDEX('9of st. k.'!B4:G29,MATCH(20,B4:B29,0),3)</f>
        <v>164</v>
      </c>
      <c r="F23" s="6">
        <f>INDEX('9of st. k.'!B4:G29,MATCH(20,B4:B29,0),4)</f>
        <v>4</v>
      </c>
      <c r="G23" s="42">
        <f>INDEX('9of st. k.'!B4:G29,MATCH(20,B4:B29,0),5)</f>
        <v>120</v>
      </c>
      <c r="H23" s="6">
        <f>INDEX('9of st. k.'!B4:G29,MATCH(20,B4:B29,0),6)</f>
        <v>48</v>
      </c>
    </row>
    <row r="24" spans="2:8" x14ac:dyDescent="0.2">
      <c r="B24" s="6">
        <f>RANK('9of st. k.'!C24,'9of st. k.'!$C$4:'9of st. k.'!$C$29,1)+COUNTIF('9of st. k.'!$C$4:'9of st. k.'!C24,'9of st. k.'!C24)-1</f>
        <v>9</v>
      </c>
      <c r="C24" s="5" t="str">
        <f>INDEX('9of st. k.'!B4:G29,MATCH(21,B4:B29,0),1)</f>
        <v>strzyżowski</v>
      </c>
      <c r="D24" s="6">
        <f>INDEX('9of st. k.'!B4:G29,MATCH(21,B4:B29,0),2)</f>
        <v>171</v>
      </c>
      <c r="E24" s="42">
        <f>INDEX('9of st. k.'!B4:G29,MATCH(21,B4:B29,0),3)</f>
        <v>38</v>
      </c>
      <c r="F24" s="6">
        <f>INDEX('9of st. k.'!B4:G29,MATCH(21,B4:B29,0),4)</f>
        <v>133</v>
      </c>
      <c r="G24" s="42">
        <f>INDEX('9of st. k.'!B4:G29,MATCH(21,B4:B29,0),5)</f>
        <v>116</v>
      </c>
      <c r="H24" s="6">
        <f>INDEX('9of st. k.'!B4:G29,MATCH(21,B4:B29,0),6)</f>
        <v>55</v>
      </c>
    </row>
    <row r="25" spans="2:8" x14ac:dyDescent="0.2">
      <c r="B25" s="6">
        <f>RANK('9of st. k.'!C25,'9of st. k.'!$C$4:'9of st. k.'!$C$29,1)+COUNTIF('9of st. k.'!$C$4:'9of st. k.'!C25,'9of st. k.'!C25)-1</f>
        <v>7</v>
      </c>
      <c r="C25" s="5" t="str">
        <f>INDEX('9of st. k.'!B4:G29,MATCH(22,B4:B29,0),1)</f>
        <v>przeworski</v>
      </c>
      <c r="D25" s="6">
        <f>INDEX('9of st. k.'!B4:G29,MATCH(22,B4:B29,0),2)</f>
        <v>174</v>
      </c>
      <c r="E25" s="42">
        <f>INDEX('9of st. k.'!B4:G29,MATCH(22,B4:B29,0),3)</f>
        <v>156</v>
      </c>
      <c r="F25" s="6">
        <f>INDEX('9of st. k.'!B4:G29,MATCH(22,B4:B29,0),4)</f>
        <v>18</v>
      </c>
      <c r="G25" s="42">
        <f>INDEX('9of st. k.'!B4:G29,MATCH(22,B4:B29,0),5)</f>
        <v>141</v>
      </c>
      <c r="H25" s="6">
        <f>INDEX('9of st. k.'!B4:G29,MATCH(22,B4:B29,0),6)</f>
        <v>33</v>
      </c>
    </row>
    <row r="26" spans="2:8" x14ac:dyDescent="0.2">
      <c r="B26" s="6">
        <f>RANK('9of st. k.'!C26,'9of st. k.'!$C$4:'9of st. k.'!$C$29,1)+COUNTIF('9of st. k.'!$C$4:'9of st. k.'!C26,'9of st. k.'!C26)-1</f>
        <v>12</v>
      </c>
      <c r="C26" s="5" t="str">
        <f>INDEX('9of st. k.'!B4:G29,MATCH(23,B4:B29,0),1)</f>
        <v>Rzeszów</v>
      </c>
      <c r="D26" s="6">
        <f>INDEX('9of st. k.'!B4:G29,MATCH(23,B4:B29,0),2)</f>
        <v>216</v>
      </c>
      <c r="E26" s="42">
        <f>INDEX('9of st. k.'!B4:G29,MATCH(23,B4:B29,0),3)</f>
        <v>247</v>
      </c>
      <c r="F26" s="6">
        <f>INDEX('9of st. k.'!B4:G29,MATCH(23,B4:B29,0),4)</f>
        <v>-31</v>
      </c>
      <c r="G26" s="42">
        <f>INDEX('9of st. k.'!B4:G29,MATCH(23,B4:B29,0),5)</f>
        <v>394</v>
      </c>
      <c r="H26" s="6">
        <f>INDEX('9of st. k.'!B4:G29,MATCH(23,B4:B29,0),6)</f>
        <v>-178</v>
      </c>
    </row>
    <row r="27" spans="2:8" x14ac:dyDescent="0.2">
      <c r="B27" s="6">
        <f>RANK('9of st. k.'!C27,'9of st. k.'!$C$4:'9of st. k.'!$C$29,1)+COUNTIF('9of st. k.'!$C$4:'9of st. k.'!C27,'9of st. k.'!C27)-1</f>
        <v>23</v>
      </c>
      <c r="C27" s="5" t="str">
        <f>INDEX('9of st. k.'!B4:G29,MATCH(24,B4:B29,0),1)</f>
        <v>dębicki</v>
      </c>
      <c r="D27" s="6">
        <f>INDEX('9of st. k.'!B4:G29,MATCH(24,B4:B29,0),2)</f>
        <v>220</v>
      </c>
      <c r="E27" s="42">
        <f>INDEX('9of st. k.'!B4:G29,MATCH(24,B4:B29,0),3)</f>
        <v>140</v>
      </c>
      <c r="F27" s="6">
        <f>INDEX('9of st. k.'!B4:G29,MATCH(24,B4:B29,0),4)</f>
        <v>80</v>
      </c>
      <c r="G27" s="42">
        <f>INDEX('9of st. k.'!B4:G29,MATCH(24,B4:B29,0),5)</f>
        <v>183</v>
      </c>
      <c r="H27" s="6">
        <f>INDEX('9of st. k.'!B4:G29,MATCH(24,B4:B29,0),6)</f>
        <v>37</v>
      </c>
    </row>
    <row r="28" spans="2:8" x14ac:dyDescent="0.2">
      <c r="B28" s="6">
        <f>RANK('9of st. k.'!C28,'9of st. k.'!$C$4:'9of st. k.'!$C$29,1)+COUNTIF('9of st. k.'!$C$4:'9of st. k.'!C28,'9of st. k.'!C28)-1</f>
        <v>10</v>
      </c>
      <c r="C28" s="5" t="str">
        <f>INDEX('9of st. k.'!B4:G29,MATCH(25,B4:B29,0),1)</f>
        <v>mielecki</v>
      </c>
      <c r="D28" s="6">
        <f>INDEX('9of st. k.'!B4:G29,MATCH(25,B4:B29,0),2)</f>
        <v>314</v>
      </c>
      <c r="E28" s="42">
        <f>INDEX('9of st. k.'!B4:G29,MATCH(25,B4:B29,0),3)</f>
        <v>362</v>
      </c>
      <c r="F28" s="6">
        <f>INDEX('9of st. k.'!B4:G29,MATCH(25,B4:B29,0),4)</f>
        <v>-48</v>
      </c>
      <c r="G28" s="42">
        <f>INDEX('9of st. k.'!B4:G29,MATCH(25,B4:B29,0),5)</f>
        <v>248</v>
      </c>
      <c r="H28" s="6">
        <f>INDEX('9of st. k.'!B4:G29,MATCH(25,B4:B29,0),6)</f>
        <v>66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2182</v>
      </c>
      <c r="E29" s="44">
        <f>INDEX('9of st. k.'!B4:G29,MATCH(26,B4:B29,0),3)</f>
        <v>2204</v>
      </c>
      <c r="F29" s="40">
        <f>INDEX('9of st. k.'!B4:G29,MATCH(26,B4:B29,0),4)</f>
        <v>-22</v>
      </c>
      <c r="G29" s="44">
        <f>INDEX('9of st. k.'!B4:G29,MATCH(26,B4:B29,0),5)</f>
        <v>2289</v>
      </c>
      <c r="H29" s="40">
        <f>INDEX('9of st. k.'!B4:G29,MATCH(26,B4:B29,0),6)</f>
        <v>-107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Normal="100" workbookViewId="0">
      <selection activeCell="C1" sqref="C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20.140625" style="51" customWidth="1"/>
    <col min="4" max="5" width="10.140625" style="51" customWidth="1"/>
    <col min="6" max="6" width="6.28515625" style="51" customWidth="1"/>
    <col min="7" max="7" width="2.28515625" style="51" customWidth="1"/>
    <col min="8" max="8" width="8.7109375" style="51" customWidth="1"/>
    <col min="9" max="9" width="8.5703125" style="51" customWidth="1"/>
    <col min="10" max="10" width="6.7109375" style="51" customWidth="1"/>
    <col min="11" max="11" width="1.5703125" style="51" customWidth="1"/>
    <col min="12" max="12" width="8" style="51" customWidth="1"/>
    <col min="13" max="13" width="8.28515625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7109375" style="51" customWidth="1"/>
    <col min="20" max="20" width="12.28515625" style="51" customWidth="1"/>
    <col min="21" max="21" width="2.140625" style="51" customWidth="1"/>
    <col min="22" max="22" width="6.42578125" style="51" customWidth="1"/>
    <col min="23" max="23" width="7.28515625" style="51" customWidth="1"/>
    <col min="24" max="24" width="11.5703125" style="51" customWidth="1"/>
    <col min="25" max="25" width="1.85546875" style="51" customWidth="1"/>
    <col min="26" max="26" width="6" style="74" customWidth="1"/>
    <col min="27" max="27" width="18.7109375" style="51" customWidth="1"/>
    <col min="28" max="28" width="6" style="51" customWidth="1"/>
    <col min="29" max="29" width="2.42578125" style="51" customWidth="1"/>
    <col min="30" max="30" width="6" style="51" customWidth="1"/>
    <col min="31" max="31" width="18.85546875" style="51" customWidth="1"/>
    <col min="32" max="32" width="5.28515625" style="51" customWidth="1"/>
    <col min="33" max="33" width="1.5703125" style="51" customWidth="1"/>
    <col min="34" max="34" width="4.140625" style="51" customWidth="1"/>
    <col min="35" max="35" width="4.42578125" style="51" customWidth="1"/>
    <col min="36" max="16384" width="9.140625" style="51"/>
  </cols>
  <sheetData>
    <row r="1" spans="2:35" ht="11.25" customHeight="1" x14ac:dyDescent="0.2">
      <c r="C1" s="106" t="s">
        <v>62</v>
      </c>
      <c r="D1" s="105"/>
      <c r="E1" s="105"/>
      <c r="F1" s="105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50"/>
    </row>
    <row r="2" spans="2:35" ht="13.5" customHeight="1" thickBot="1" x14ac:dyDescent="0.25">
      <c r="C2" s="167" t="s">
        <v>58</v>
      </c>
      <c r="D2" s="102"/>
      <c r="E2" s="102"/>
      <c r="F2" s="102"/>
      <c r="G2" s="103"/>
      <c r="H2" s="167" t="s">
        <v>59</v>
      </c>
      <c r="I2" s="103"/>
      <c r="J2" s="103"/>
      <c r="K2" s="103"/>
      <c r="L2" s="167" t="s">
        <v>60</v>
      </c>
      <c r="M2" s="103"/>
      <c r="N2" s="103"/>
      <c r="O2" s="103"/>
      <c r="P2" s="50"/>
      <c r="Q2" s="85"/>
      <c r="R2" s="168" t="s">
        <v>102</v>
      </c>
      <c r="S2" s="103"/>
      <c r="T2" s="50"/>
      <c r="U2" s="85"/>
      <c r="V2" s="168" t="s">
        <v>102</v>
      </c>
      <c r="W2" s="50"/>
      <c r="X2" s="103"/>
      <c r="Y2" s="85"/>
      <c r="Z2" s="104"/>
      <c r="AA2" s="86"/>
      <c r="AB2" s="86"/>
      <c r="AC2" s="86"/>
      <c r="AD2" s="86"/>
      <c r="AE2" s="86"/>
      <c r="AF2" s="86"/>
      <c r="AG2" s="86"/>
      <c r="AH2" s="86"/>
      <c r="AI2" s="86"/>
    </row>
    <row r="3" spans="2:35" ht="45.75" thickBot="1" x14ac:dyDescent="0.25">
      <c r="B3" s="138"/>
      <c r="C3" s="101" t="s">
        <v>27</v>
      </c>
      <c r="D3" s="107" t="s">
        <v>95</v>
      </c>
      <c r="E3" s="109" t="s">
        <v>94</v>
      </c>
      <c r="F3" s="139" t="s">
        <v>64</v>
      </c>
      <c r="G3" s="79"/>
      <c r="H3" s="108" t="s">
        <v>96</v>
      </c>
      <c r="I3" s="109" t="s">
        <v>97</v>
      </c>
      <c r="J3" s="139" t="s">
        <v>65</v>
      </c>
      <c r="K3" s="79"/>
      <c r="L3" s="108" t="s">
        <v>98</v>
      </c>
      <c r="M3" s="109" t="s">
        <v>99</v>
      </c>
      <c r="N3" s="139" t="s">
        <v>64</v>
      </c>
      <c r="O3" s="79"/>
      <c r="P3" s="131" t="s">
        <v>61</v>
      </c>
      <c r="Q3" s="83"/>
      <c r="R3" s="150" t="s">
        <v>53</v>
      </c>
      <c r="S3" s="109" t="s">
        <v>100</v>
      </c>
      <c r="T3" s="155" t="s">
        <v>63</v>
      </c>
      <c r="U3" s="53"/>
      <c r="V3" s="150" t="s">
        <v>72</v>
      </c>
      <c r="W3" s="117" t="s">
        <v>101</v>
      </c>
      <c r="X3" s="156" t="s">
        <v>68</v>
      </c>
      <c r="Z3" s="137" t="s">
        <v>54</v>
      </c>
      <c r="AA3" s="158" t="s">
        <v>51</v>
      </c>
      <c r="AB3" s="159" t="s">
        <v>51</v>
      </c>
      <c r="AC3" s="122"/>
      <c r="AD3" s="137" t="s">
        <v>55</v>
      </c>
      <c r="AE3" s="158" t="s">
        <v>52</v>
      </c>
      <c r="AF3" s="159" t="s">
        <v>52</v>
      </c>
      <c r="AG3" s="83"/>
      <c r="AH3" s="138"/>
      <c r="AI3" s="157"/>
    </row>
    <row r="4" spans="2:35" x14ac:dyDescent="0.2">
      <c r="B4" s="138">
        <v>1</v>
      </c>
      <c r="C4" s="87" t="s">
        <v>0</v>
      </c>
      <c r="D4" s="132">
        <v>458</v>
      </c>
      <c r="E4" s="61">
        <v>405</v>
      </c>
      <c r="F4" s="110">
        <f t="shared" ref="F4:F28" si="0">E4-D4</f>
        <v>-53</v>
      </c>
      <c r="G4" s="77"/>
      <c r="H4" s="52">
        <v>196</v>
      </c>
      <c r="I4" s="54">
        <v>155</v>
      </c>
      <c r="J4" s="70">
        <f t="shared" ref="J4:J28" si="1">I4-H4</f>
        <v>-41</v>
      </c>
      <c r="K4" s="80"/>
      <c r="L4" s="52">
        <v>122</v>
      </c>
      <c r="M4" s="54">
        <v>88</v>
      </c>
      <c r="N4" s="70">
        <f t="shared" ref="N4:N28" si="2">M4-L4</f>
        <v>-34</v>
      </c>
      <c r="O4" s="80"/>
      <c r="P4" s="64">
        <f>F4+J4+N4</f>
        <v>-128</v>
      </c>
      <c r="Q4" s="84"/>
      <c r="R4" s="151">
        <v>1112</v>
      </c>
      <c r="S4" s="54">
        <v>973</v>
      </c>
      <c r="T4" s="66">
        <f>SUM(S4-R4)</f>
        <v>-139</v>
      </c>
      <c r="U4" s="55"/>
      <c r="V4" s="151">
        <v>1085</v>
      </c>
      <c r="W4" s="115">
        <v>1020</v>
      </c>
      <c r="X4" s="115">
        <f>SUM(W4-V4)</f>
        <v>-65</v>
      </c>
      <c r="Z4" s="64">
        <f>RANK(P4,$P$4:$P$28,1)+COUNTIF($P$4:P4,P4)-1</f>
        <v>9</v>
      </c>
      <c r="AA4" s="67" t="str">
        <f>INDEX(C4:P28,MATCH(1,Z4:Z28,0),1)</f>
        <v>jarosławski</v>
      </c>
      <c r="AB4" s="54">
        <f>INDEX(C4:P28,MATCH(1,Z4:Z28,0),14)</f>
        <v>-456</v>
      </c>
      <c r="AC4" s="123"/>
      <c r="AD4" s="64">
        <f>RANK(T4,$T$4:$T$28,1)+COUNTIF($T$4:T4,T4)-1</f>
        <v>13</v>
      </c>
      <c r="AE4" s="67" t="str">
        <f>INDEX(C4:T28,MATCH(1,AD4:AD28,0),1)</f>
        <v>jarosławski</v>
      </c>
      <c r="AF4" s="54">
        <f>INDEX(C4:T28,MATCH(1,AD4:AD28,0),18)</f>
        <v>-459</v>
      </c>
      <c r="AG4" s="85"/>
      <c r="AH4" s="127">
        <v>1</v>
      </c>
      <c r="AI4" s="129">
        <f>SUM(Z4)-AD4</f>
        <v>-4</v>
      </c>
    </row>
    <row r="5" spans="2:35" x14ac:dyDescent="0.2">
      <c r="B5" s="138">
        <v>2</v>
      </c>
      <c r="C5" s="88" t="s">
        <v>1</v>
      </c>
      <c r="D5" s="133">
        <v>1238</v>
      </c>
      <c r="E5" s="62">
        <v>1178</v>
      </c>
      <c r="F5" s="111">
        <f t="shared" si="0"/>
        <v>-60</v>
      </c>
      <c r="G5" s="77"/>
      <c r="H5" s="57">
        <v>349</v>
      </c>
      <c r="I5" s="56">
        <v>395</v>
      </c>
      <c r="J5" s="71">
        <f t="shared" si="1"/>
        <v>46</v>
      </c>
      <c r="K5" s="80"/>
      <c r="L5" s="57">
        <v>184</v>
      </c>
      <c r="M5" s="56">
        <v>169</v>
      </c>
      <c r="N5" s="71">
        <f t="shared" si="2"/>
        <v>-15</v>
      </c>
      <c r="O5" s="80"/>
      <c r="P5" s="135">
        <f>F5+J5+N5</f>
        <v>-29</v>
      </c>
      <c r="Q5" s="84"/>
      <c r="R5" s="152">
        <v>4038</v>
      </c>
      <c r="S5" s="56">
        <v>3667</v>
      </c>
      <c r="T5" s="75">
        <f t="shared" ref="T5:T28" si="3">SUM(S5-R5)</f>
        <v>-371</v>
      </c>
      <c r="U5" s="55"/>
      <c r="V5" s="152">
        <v>3848</v>
      </c>
      <c r="W5" s="116">
        <v>3535</v>
      </c>
      <c r="X5" s="116">
        <f t="shared" ref="X5:X28" si="4">SUM(W5-V5)</f>
        <v>-313</v>
      </c>
      <c r="Z5" s="65">
        <f>RANK(P5,$P$4:$P$28,1)+COUNTIF($P$4:P5,P5)-1</f>
        <v>19</v>
      </c>
      <c r="AA5" s="68" t="str">
        <f>INDEX(C4:P28,MATCH(2,Z4:Z28,0),1)</f>
        <v>strzyżowski</v>
      </c>
      <c r="AB5" s="56">
        <f>INDEX(C4:P28,MATCH(2,Z4:Z28,0),14)</f>
        <v>-238</v>
      </c>
      <c r="AC5" s="123"/>
      <c r="AD5" s="65">
        <f>RANK(T5,$T$4:$T$28,1)+COUNTIF($T$4:T5,T5)-1</f>
        <v>2</v>
      </c>
      <c r="AE5" s="68" t="str">
        <f>INDEX(C4:T28,MATCH(2,AD4:AD28,0),1)</f>
        <v>brzozowski</v>
      </c>
      <c r="AF5" s="56">
        <f>INDEX(C4:T28,MATCH(2,AD4:AD28,0),18)</f>
        <v>-371</v>
      </c>
      <c r="AG5" s="85"/>
      <c r="AH5" s="127">
        <v>2</v>
      </c>
      <c r="AI5" s="129">
        <f t="shared" ref="AI5:AI28" si="5">SUM(Z5)-AD5</f>
        <v>17</v>
      </c>
    </row>
    <row r="6" spans="2:35" x14ac:dyDescent="0.2">
      <c r="B6" s="138">
        <v>3</v>
      </c>
      <c r="C6" s="88" t="s">
        <v>2</v>
      </c>
      <c r="D6" s="133">
        <v>1237</v>
      </c>
      <c r="E6" s="62">
        <v>1279</v>
      </c>
      <c r="F6" s="111">
        <f t="shared" si="0"/>
        <v>42</v>
      </c>
      <c r="G6" s="77"/>
      <c r="H6" s="57">
        <v>336</v>
      </c>
      <c r="I6" s="56">
        <v>237</v>
      </c>
      <c r="J6" s="71">
        <f t="shared" si="1"/>
        <v>-99</v>
      </c>
      <c r="K6" s="80"/>
      <c r="L6" s="57">
        <v>162</v>
      </c>
      <c r="M6" s="56">
        <v>140</v>
      </c>
      <c r="N6" s="71">
        <f t="shared" si="2"/>
        <v>-22</v>
      </c>
      <c r="O6" s="80"/>
      <c r="P6" s="65">
        <f>F6+J6+N6</f>
        <v>-79</v>
      </c>
      <c r="Q6" s="84"/>
      <c r="R6" s="152">
        <v>2435</v>
      </c>
      <c r="S6" s="56">
        <v>2398</v>
      </c>
      <c r="T6" s="56">
        <f t="shared" si="3"/>
        <v>-37</v>
      </c>
      <c r="U6" s="50"/>
      <c r="V6" s="152">
        <v>2433</v>
      </c>
      <c r="W6" s="116">
        <v>2297</v>
      </c>
      <c r="X6" s="71">
        <f t="shared" si="4"/>
        <v>-136</v>
      </c>
      <c r="Z6" s="65">
        <f>RANK(P6,$P$4:$P$28,1)+COUNTIF($P$4:P6,P6)-1</f>
        <v>13</v>
      </c>
      <c r="AA6" s="68" t="str">
        <f>INDEX(C4:P28,MATCH(3,Z4:Z28,0),1)</f>
        <v>leżajski</v>
      </c>
      <c r="AB6" s="56">
        <f>INDEX(C4:P28,MATCH(3,Z4:Z28,0),14)</f>
        <v>-207</v>
      </c>
      <c r="AC6" s="123"/>
      <c r="AD6" s="65">
        <f>RANK(T6,$T$4:$T$28,1)+COUNTIF($T$4:T6,T6)-1</f>
        <v>18</v>
      </c>
      <c r="AE6" s="68" t="str">
        <f>INDEX(C4:T28,MATCH(3,AD4:AD28,0),1)</f>
        <v>przeworski</v>
      </c>
      <c r="AF6" s="56">
        <f>INDEX(C4:T28,MATCH(3,AD4:AD28,0),18)</f>
        <v>-354</v>
      </c>
      <c r="AG6" s="85"/>
      <c r="AH6" s="127">
        <v>3</v>
      </c>
      <c r="AI6" s="129">
        <f t="shared" si="5"/>
        <v>-5</v>
      </c>
    </row>
    <row r="7" spans="2:35" x14ac:dyDescent="0.2">
      <c r="B7" s="138">
        <v>4</v>
      </c>
      <c r="C7" s="88" t="s">
        <v>3</v>
      </c>
      <c r="D7" s="133">
        <v>1987</v>
      </c>
      <c r="E7" s="62">
        <v>1688</v>
      </c>
      <c r="F7" s="111">
        <f t="shared" si="0"/>
        <v>-299</v>
      </c>
      <c r="G7" s="77"/>
      <c r="H7" s="57">
        <v>620</v>
      </c>
      <c r="I7" s="56">
        <v>554</v>
      </c>
      <c r="J7" s="71">
        <f t="shared" si="1"/>
        <v>-66</v>
      </c>
      <c r="K7" s="80"/>
      <c r="L7" s="57">
        <v>331</v>
      </c>
      <c r="M7" s="56">
        <v>240</v>
      </c>
      <c r="N7" s="71">
        <f t="shared" si="2"/>
        <v>-91</v>
      </c>
      <c r="O7" s="80"/>
      <c r="P7" s="135">
        <f t="shared" ref="P7:P28" si="6">F7+J7+N7</f>
        <v>-456</v>
      </c>
      <c r="Q7" s="84"/>
      <c r="R7" s="152">
        <v>4674</v>
      </c>
      <c r="S7" s="56">
        <v>4215</v>
      </c>
      <c r="T7" s="56">
        <f t="shared" si="3"/>
        <v>-459</v>
      </c>
      <c r="U7" s="50"/>
      <c r="V7" s="152">
        <v>4299</v>
      </c>
      <c r="W7" s="116">
        <v>4280</v>
      </c>
      <c r="X7" s="71">
        <f t="shared" si="4"/>
        <v>-19</v>
      </c>
      <c r="Z7" s="65">
        <f>RANK(P7,$P$4:$P$28,1)+COUNTIF($P$4:P7,P7)-1</f>
        <v>1</v>
      </c>
      <c r="AA7" s="68" t="str">
        <f>INDEX(C4:P28,MATCH(4,Z4:Z28,0),1)</f>
        <v>przeworski</v>
      </c>
      <c r="AB7" s="56">
        <f>INDEX(C4:P28,MATCH(4,Z4:Z28,0),14)</f>
        <v>-193</v>
      </c>
      <c r="AC7" s="123"/>
      <c r="AD7" s="65">
        <f>RANK(T7,$T$4:$T$28,1)+COUNTIF($T$4:T7,T7)-1</f>
        <v>1</v>
      </c>
      <c r="AE7" s="68" t="str">
        <f>INDEX(C4:T28,MATCH(4,AD4:AD28,0),1)</f>
        <v>rzeszowski</v>
      </c>
      <c r="AF7" s="56">
        <f>INDEX(C4:T28,MATCH(4,AD4:AD28,0),18)</f>
        <v>-337</v>
      </c>
      <c r="AG7" s="85"/>
      <c r="AH7" s="127">
        <v>4</v>
      </c>
      <c r="AI7" s="129">
        <f t="shared" si="5"/>
        <v>0</v>
      </c>
    </row>
    <row r="8" spans="2:35" x14ac:dyDescent="0.2">
      <c r="B8" s="138">
        <v>5</v>
      </c>
      <c r="C8" s="88" t="s">
        <v>4</v>
      </c>
      <c r="D8" s="133">
        <v>1651</v>
      </c>
      <c r="E8" s="62">
        <v>1681</v>
      </c>
      <c r="F8" s="111">
        <f t="shared" si="0"/>
        <v>30</v>
      </c>
      <c r="G8" s="77"/>
      <c r="H8" s="57">
        <v>501</v>
      </c>
      <c r="I8" s="56">
        <v>442</v>
      </c>
      <c r="J8" s="71">
        <f t="shared" si="1"/>
        <v>-59</v>
      </c>
      <c r="K8" s="80"/>
      <c r="L8" s="57">
        <v>271</v>
      </c>
      <c r="M8" s="56">
        <v>262</v>
      </c>
      <c r="N8" s="71">
        <f t="shared" si="2"/>
        <v>-9</v>
      </c>
      <c r="O8" s="80"/>
      <c r="P8" s="135">
        <f t="shared" si="6"/>
        <v>-38</v>
      </c>
      <c r="Q8" s="84"/>
      <c r="R8" s="152">
        <v>4926</v>
      </c>
      <c r="S8" s="56">
        <v>4772</v>
      </c>
      <c r="T8" s="56">
        <f t="shared" si="3"/>
        <v>-154</v>
      </c>
      <c r="U8" s="50"/>
      <c r="V8" s="152">
        <v>5107</v>
      </c>
      <c r="W8" s="116">
        <v>4717</v>
      </c>
      <c r="X8" s="71">
        <f t="shared" si="4"/>
        <v>-390</v>
      </c>
      <c r="Z8" s="65">
        <f>RANK(P8,$P$4:$P$28,1)+COUNTIF($P$4:P8,P8)-1</f>
        <v>18</v>
      </c>
      <c r="AA8" s="68" t="str">
        <f>INDEX(C4:P28,MATCH(5,Z4:Z28,0),1)</f>
        <v>tarnobrzeski</v>
      </c>
      <c r="AB8" s="56">
        <f>INDEX(C4:P28,MATCH(5,Z4:Z28,0),14)</f>
        <v>-163</v>
      </c>
      <c r="AC8" s="123"/>
      <c r="AD8" s="65">
        <f>RANK(T8,$T$4:$T$28,1)+COUNTIF($T$4:T8,T8)-1</f>
        <v>11</v>
      </c>
      <c r="AE8" s="68" t="str">
        <f>INDEX(C4:T28,MATCH(5,AD4:AD28,0),1)</f>
        <v>przemyski</v>
      </c>
      <c r="AF8" s="56">
        <f>INDEX(C4:T28,MATCH(5,AD4:AD28,0),18)</f>
        <v>-327</v>
      </c>
      <c r="AG8" s="85"/>
      <c r="AH8" s="127">
        <v>5</v>
      </c>
      <c r="AI8" s="128">
        <f t="shared" si="5"/>
        <v>7</v>
      </c>
    </row>
    <row r="9" spans="2:35" x14ac:dyDescent="0.2">
      <c r="B9" s="138">
        <v>6</v>
      </c>
      <c r="C9" s="88" t="s">
        <v>5</v>
      </c>
      <c r="D9" s="133">
        <v>709</v>
      </c>
      <c r="E9" s="62">
        <v>678</v>
      </c>
      <c r="F9" s="111">
        <f t="shared" si="0"/>
        <v>-31</v>
      </c>
      <c r="G9" s="77"/>
      <c r="H9" s="57">
        <v>221</v>
      </c>
      <c r="I9" s="56">
        <v>128</v>
      </c>
      <c r="J9" s="71">
        <f t="shared" si="1"/>
        <v>-93</v>
      </c>
      <c r="K9" s="80"/>
      <c r="L9" s="57">
        <v>145</v>
      </c>
      <c r="M9" s="56">
        <v>125</v>
      </c>
      <c r="N9" s="71">
        <f t="shared" si="2"/>
        <v>-20</v>
      </c>
      <c r="O9" s="80"/>
      <c r="P9" s="135">
        <f t="shared" si="6"/>
        <v>-144</v>
      </c>
      <c r="Q9" s="84"/>
      <c r="R9" s="152">
        <v>1577</v>
      </c>
      <c r="S9" s="56">
        <v>1511</v>
      </c>
      <c r="T9" s="56">
        <f t="shared" si="3"/>
        <v>-66</v>
      </c>
      <c r="U9" s="50"/>
      <c r="V9" s="152">
        <v>1494</v>
      </c>
      <c r="W9" s="116">
        <v>1544</v>
      </c>
      <c r="X9" s="71">
        <f t="shared" si="4"/>
        <v>50</v>
      </c>
      <c r="Z9" s="65">
        <f>RANK(P9,$P$4:$P$28,1)+COUNTIF($P$4:P9,P9)-1</f>
        <v>6</v>
      </c>
      <c r="AA9" s="68" t="str">
        <f>INDEX(C4:P28,MATCH(6,Z4:Z28,0),1)</f>
        <v>kolbuszowski</v>
      </c>
      <c r="AB9" s="56">
        <f>INDEX(C4:P28,MATCH(6,Z4:Z28,0),14)</f>
        <v>-144</v>
      </c>
      <c r="AC9" s="123"/>
      <c r="AD9" s="65">
        <f>RANK(T9,$T$4:$T$28,1)+COUNTIF($T$4:T9,T9)-1</f>
        <v>17</v>
      </c>
      <c r="AE9" s="68" t="str">
        <f>INDEX(C4:T28,MATCH(6,AD4:AD28,0),1)</f>
        <v>leżajski</v>
      </c>
      <c r="AF9" s="56">
        <f>INDEX(C4:T28,MATCH(6,AD4:AD28,0),18)</f>
        <v>-301</v>
      </c>
      <c r="AG9" s="85"/>
      <c r="AH9" s="127">
        <v>6</v>
      </c>
      <c r="AI9" s="128">
        <f t="shared" si="5"/>
        <v>-11</v>
      </c>
    </row>
    <row r="10" spans="2:35" x14ac:dyDescent="0.2">
      <c r="B10" s="138">
        <v>7</v>
      </c>
      <c r="C10" s="88" t="s">
        <v>6</v>
      </c>
      <c r="D10" s="133">
        <v>998</v>
      </c>
      <c r="E10" s="62">
        <v>1056</v>
      </c>
      <c r="F10" s="111">
        <f t="shared" si="0"/>
        <v>58</v>
      </c>
      <c r="G10" s="77"/>
      <c r="H10" s="57">
        <v>223</v>
      </c>
      <c r="I10" s="56">
        <v>209</v>
      </c>
      <c r="J10" s="71">
        <f t="shared" si="1"/>
        <v>-14</v>
      </c>
      <c r="K10" s="80"/>
      <c r="L10" s="57">
        <v>112</v>
      </c>
      <c r="M10" s="56">
        <v>117</v>
      </c>
      <c r="N10" s="71">
        <f t="shared" si="2"/>
        <v>5</v>
      </c>
      <c r="O10" s="80"/>
      <c r="P10" s="135">
        <f>F10+J10+N10</f>
        <v>49</v>
      </c>
      <c r="Q10" s="84"/>
      <c r="R10" s="152">
        <v>2018</v>
      </c>
      <c r="S10" s="56">
        <v>2126</v>
      </c>
      <c r="T10" s="75">
        <f t="shared" si="3"/>
        <v>108</v>
      </c>
      <c r="U10" s="50"/>
      <c r="V10" s="152">
        <v>2221</v>
      </c>
      <c r="W10" s="116">
        <v>2154</v>
      </c>
      <c r="X10" s="71">
        <f t="shared" si="4"/>
        <v>-67</v>
      </c>
      <c r="Z10" s="65">
        <f>RANK(P10,$P$4:$P$28,1)+COUNTIF($P$4:P10,P10)-1</f>
        <v>24</v>
      </c>
      <c r="AA10" s="68" t="str">
        <f>INDEX(C4:P28,MATCH(7,Z4:Z28,0),1)</f>
        <v>łańcucki</v>
      </c>
      <c r="AB10" s="56">
        <f>INDEX(C4:P28,MATCH(7,Z4:Z28,0),14)</f>
        <v>-144</v>
      </c>
      <c r="AC10" s="123"/>
      <c r="AD10" s="65">
        <f>RANK(T10,$T$4:$T$28,1)+COUNTIF($T$4:T10,T10)-1</f>
        <v>24</v>
      </c>
      <c r="AE10" s="68" t="str">
        <f>INDEX(C4:T28,MATCH(7,AD4:AD28,0),1)</f>
        <v>strzyżowski</v>
      </c>
      <c r="AF10" s="56">
        <f>INDEX(C4:T28,MATCH(7,AD4:AD28,0),18)</f>
        <v>-236</v>
      </c>
      <c r="AG10" s="85"/>
      <c r="AH10" s="127">
        <v>7</v>
      </c>
      <c r="AI10" s="128">
        <f t="shared" si="5"/>
        <v>0</v>
      </c>
    </row>
    <row r="11" spans="2:35" x14ac:dyDescent="0.2">
      <c r="B11" s="138">
        <v>8</v>
      </c>
      <c r="C11" s="88" t="s">
        <v>7</v>
      </c>
      <c r="D11" s="133">
        <v>652</v>
      </c>
      <c r="E11" s="62">
        <v>634</v>
      </c>
      <c r="F11" s="111">
        <f t="shared" si="0"/>
        <v>-18</v>
      </c>
      <c r="G11" s="77"/>
      <c r="H11" s="57">
        <v>189</v>
      </c>
      <c r="I11" s="56">
        <v>141</v>
      </c>
      <c r="J11" s="71">
        <f t="shared" si="1"/>
        <v>-48</v>
      </c>
      <c r="K11" s="80"/>
      <c r="L11" s="57">
        <v>64</v>
      </c>
      <c r="M11" s="56">
        <v>77</v>
      </c>
      <c r="N11" s="71">
        <f t="shared" si="2"/>
        <v>13</v>
      </c>
      <c r="O11" s="80"/>
      <c r="P11" s="135">
        <f t="shared" si="6"/>
        <v>-53</v>
      </c>
      <c r="Q11" s="84"/>
      <c r="R11" s="152">
        <v>1747</v>
      </c>
      <c r="S11" s="56">
        <v>1541</v>
      </c>
      <c r="T11" s="56">
        <f t="shared" si="3"/>
        <v>-206</v>
      </c>
      <c r="U11" s="50"/>
      <c r="V11" s="152">
        <v>1716</v>
      </c>
      <c r="W11" s="116">
        <v>1512</v>
      </c>
      <c r="X11" s="71">
        <f t="shared" si="4"/>
        <v>-204</v>
      </c>
      <c r="Z11" s="65">
        <f>RANK(P11,$P$4:$P$28,1)+COUNTIF($P$4:P11,P11)-1</f>
        <v>16</v>
      </c>
      <c r="AA11" s="68" t="str">
        <f>INDEX(C4:P28,MATCH(8,Z4:Z28,0),1)</f>
        <v>Rzeszów</v>
      </c>
      <c r="AB11" s="56">
        <f>INDEX(C4:P28,MATCH(8,Z4:Z28,0),14)</f>
        <v>-137</v>
      </c>
      <c r="AC11" s="123"/>
      <c r="AD11" s="65">
        <f>RANK(T11,$T$4:$T$28,1)+COUNTIF($T$4:T11,T11)-1</f>
        <v>8</v>
      </c>
      <c r="AE11" s="68" t="str">
        <f>INDEX(C4:T28,MATCH(8,AD4:AD28,0),1)</f>
        <v>leski</v>
      </c>
      <c r="AF11" s="56">
        <f>INDEX(C4:T28,MATCH(8,AD4:AD28,0),18)</f>
        <v>-206</v>
      </c>
      <c r="AG11" s="85"/>
      <c r="AH11" s="127">
        <v>8</v>
      </c>
      <c r="AI11" s="128">
        <f t="shared" si="5"/>
        <v>8</v>
      </c>
    </row>
    <row r="12" spans="2:35" x14ac:dyDescent="0.2">
      <c r="B12" s="138">
        <v>9</v>
      </c>
      <c r="C12" s="88" t="s">
        <v>8</v>
      </c>
      <c r="D12" s="133">
        <v>1047</v>
      </c>
      <c r="E12" s="62">
        <v>968</v>
      </c>
      <c r="F12" s="111">
        <f t="shared" si="0"/>
        <v>-79</v>
      </c>
      <c r="G12" s="77"/>
      <c r="H12" s="57">
        <v>351</v>
      </c>
      <c r="I12" s="56">
        <v>321</v>
      </c>
      <c r="J12" s="71">
        <f t="shared" si="1"/>
        <v>-30</v>
      </c>
      <c r="K12" s="80"/>
      <c r="L12" s="57">
        <v>417</v>
      </c>
      <c r="M12" s="56">
        <v>319</v>
      </c>
      <c r="N12" s="71">
        <f t="shared" si="2"/>
        <v>-98</v>
      </c>
      <c r="O12" s="80"/>
      <c r="P12" s="135">
        <f t="shared" si="6"/>
        <v>-207</v>
      </c>
      <c r="Q12" s="84"/>
      <c r="R12" s="152">
        <v>3198</v>
      </c>
      <c r="S12" s="56">
        <v>2897</v>
      </c>
      <c r="T12" s="56">
        <f t="shared" si="3"/>
        <v>-301</v>
      </c>
      <c r="U12" s="50"/>
      <c r="V12" s="152">
        <v>3105</v>
      </c>
      <c r="W12" s="116">
        <v>2853</v>
      </c>
      <c r="X12" s="71">
        <f t="shared" si="4"/>
        <v>-252</v>
      </c>
      <c r="Z12" s="65">
        <f>RANK(P12,$P$4:$P$28,1)+COUNTIF($P$4:P12,P12)-1</f>
        <v>3</v>
      </c>
      <c r="AA12" s="68" t="str">
        <f>INDEX(C4:P28,MATCH(9,Z4:Z28,0),1)</f>
        <v>bieszczadzki</v>
      </c>
      <c r="AB12" s="56">
        <f>INDEX(C4:P28,MATCH(9,Z4:Z28,0),14)</f>
        <v>-128</v>
      </c>
      <c r="AC12" s="123"/>
      <c r="AD12" s="65">
        <f>RANK(T12,$T$4:$T$28,1)+COUNTIF($T$4:T12,T12)-1</f>
        <v>6</v>
      </c>
      <c r="AE12" s="68" t="str">
        <f>INDEX(C4:T28,MATCH(9,AD4:AD28,0),1)</f>
        <v>Rzeszów</v>
      </c>
      <c r="AF12" s="56">
        <f>INDEX(C4:T28,MATCH(9,AD4:AD28,0),18)</f>
        <v>-195</v>
      </c>
      <c r="AG12" s="85"/>
      <c r="AH12" s="127">
        <v>9</v>
      </c>
      <c r="AI12" s="128">
        <f t="shared" si="5"/>
        <v>-3</v>
      </c>
    </row>
    <row r="13" spans="2:35" x14ac:dyDescent="0.2">
      <c r="B13" s="138">
        <v>10</v>
      </c>
      <c r="C13" s="88" t="s">
        <v>9</v>
      </c>
      <c r="D13" s="133">
        <v>781</v>
      </c>
      <c r="E13" s="62">
        <v>790</v>
      </c>
      <c r="F13" s="111">
        <f t="shared" si="0"/>
        <v>9</v>
      </c>
      <c r="G13" s="77"/>
      <c r="H13" s="57">
        <v>219</v>
      </c>
      <c r="I13" s="56">
        <v>205</v>
      </c>
      <c r="J13" s="71">
        <f t="shared" si="1"/>
        <v>-14</v>
      </c>
      <c r="K13" s="80"/>
      <c r="L13" s="57">
        <v>244</v>
      </c>
      <c r="M13" s="56">
        <v>194</v>
      </c>
      <c r="N13" s="71">
        <f t="shared" si="2"/>
        <v>-50</v>
      </c>
      <c r="O13" s="80"/>
      <c r="P13" s="135">
        <f t="shared" si="6"/>
        <v>-55</v>
      </c>
      <c r="Q13" s="84"/>
      <c r="R13" s="152">
        <v>1831</v>
      </c>
      <c r="S13" s="56">
        <v>1692</v>
      </c>
      <c r="T13" s="56">
        <f t="shared" si="3"/>
        <v>-139</v>
      </c>
      <c r="U13" s="50"/>
      <c r="V13" s="152">
        <v>1867</v>
      </c>
      <c r="W13" s="116">
        <v>1638</v>
      </c>
      <c r="X13" s="71">
        <f t="shared" si="4"/>
        <v>-229</v>
      </c>
      <c r="Z13" s="65">
        <f>RANK(P13,$P$4:$P$28,1)+COUNTIF($P$4:P13,P13)-1</f>
        <v>15</v>
      </c>
      <c r="AA13" s="68" t="str">
        <f>INDEX(C4:P28,MATCH(10,Z4:Z28,0),1)</f>
        <v>stalowowolski</v>
      </c>
      <c r="AB13" s="56">
        <f>INDEX(C4:P28,MATCH(10,Z4:Z28,0),14)</f>
        <v>-115</v>
      </c>
      <c r="AC13" s="123"/>
      <c r="AD13" s="65">
        <f>RANK(T13,$T$4:$T$28,1)+COUNTIF($T$4:T13,T13)-1</f>
        <v>14</v>
      </c>
      <c r="AE13" s="68" t="str">
        <f>INDEX(C4:T28,MATCH(10,AD4:AD28,0),1)</f>
        <v>ropczycko-sędziszowski</v>
      </c>
      <c r="AF13" s="56">
        <f>INDEX(C4:T28,MATCH(10,AD4:AD28,0),18)</f>
        <v>-175</v>
      </c>
      <c r="AG13" s="85"/>
      <c r="AH13" s="127">
        <v>10</v>
      </c>
      <c r="AI13" s="128">
        <f t="shared" si="5"/>
        <v>1</v>
      </c>
    </row>
    <row r="14" spans="2:35" x14ac:dyDescent="0.2">
      <c r="B14" s="138">
        <v>11</v>
      </c>
      <c r="C14" s="88" t="s">
        <v>10</v>
      </c>
      <c r="D14" s="133">
        <v>1195</v>
      </c>
      <c r="E14" s="62">
        <v>1152</v>
      </c>
      <c r="F14" s="111">
        <f t="shared" si="0"/>
        <v>-43</v>
      </c>
      <c r="G14" s="77"/>
      <c r="H14" s="57">
        <v>402</v>
      </c>
      <c r="I14" s="56">
        <v>321</v>
      </c>
      <c r="J14" s="71">
        <f t="shared" si="1"/>
        <v>-81</v>
      </c>
      <c r="K14" s="80"/>
      <c r="L14" s="57">
        <v>185</v>
      </c>
      <c r="M14" s="56">
        <v>165</v>
      </c>
      <c r="N14" s="71">
        <f t="shared" si="2"/>
        <v>-20</v>
      </c>
      <c r="O14" s="80"/>
      <c r="P14" s="65">
        <f t="shared" si="6"/>
        <v>-144</v>
      </c>
      <c r="Q14" s="84"/>
      <c r="R14" s="152">
        <v>2629</v>
      </c>
      <c r="S14" s="56">
        <v>2520</v>
      </c>
      <c r="T14" s="56">
        <f t="shared" si="3"/>
        <v>-109</v>
      </c>
      <c r="U14" s="50"/>
      <c r="V14" s="152">
        <v>2547</v>
      </c>
      <c r="W14" s="116">
        <v>2478</v>
      </c>
      <c r="X14" s="71">
        <f t="shared" si="4"/>
        <v>-69</v>
      </c>
      <c r="Z14" s="65">
        <f>RANK(P14,$P$4:$P$28,1)+COUNTIF($P$4:P14,P14)-1</f>
        <v>7</v>
      </c>
      <c r="AA14" s="68" t="str">
        <f>INDEX(C4:P28,MATCH(11,Z4:Z28,0),1)</f>
        <v>niżański</v>
      </c>
      <c r="AB14" s="56">
        <f>INDEX(C4:P28,MATCH(11,Z4:Z28,0),14)</f>
        <v>-108</v>
      </c>
      <c r="AC14" s="123"/>
      <c r="AD14" s="65">
        <f>RANK(T14,$T$4:$T$28,1)+COUNTIF($T$4:T14,T14)-1</f>
        <v>15</v>
      </c>
      <c r="AE14" s="68" t="str">
        <f>INDEX(C4:T28,MATCH(11,AD4:AD28,0),1)</f>
        <v>jasielski</v>
      </c>
      <c r="AF14" s="56">
        <f>INDEX(C4:T28,MATCH(11,AD4:AD28,0),18)</f>
        <v>-154</v>
      </c>
      <c r="AG14" s="85"/>
      <c r="AH14" s="127">
        <v>11</v>
      </c>
      <c r="AI14" s="128">
        <f t="shared" si="5"/>
        <v>-8</v>
      </c>
    </row>
    <row r="15" spans="2:35" x14ac:dyDescent="0.2">
      <c r="B15" s="138">
        <v>12</v>
      </c>
      <c r="C15" s="88" t="s">
        <v>11</v>
      </c>
      <c r="D15" s="133">
        <v>1677</v>
      </c>
      <c r="E15" s="62">
        <v>1730</v>
      </c>
      <c r="F15" s="111">
        <f t="shared" si="0"/>
        <v>53</v>
      </c>
      <c r="G15" s="77"/>
      <c r="H15" s="57">
        <v>402</v>
      </c>
      <c r="I15" s="56">
        <v>371</v>
      </c>
      <c r="J15" s="71">
        <f t="shared" si="1"/>
        <v>-31</v>
      </c>
      <c r="K15" s="80"/>
      <c r="L15" s="57">
        <v>294</v>
      </c>
      <c r="M15" s="56">
        <v>204</v>
      </c>
      <c r="N15" s="71">
        <f t="shared" si="2"/>
        <v>-90</v>
      </c>
      <c r="O15" s="80"/>
      <c r="P15" s="65">
        <f t="shared" si="6"/>
        <v>-68</v>
      </c>
      <c r="Q15" s="84"/>
      <c r="R15" s="152">
        <v>2517</v>
      </c>
      <c r="S15" s="56">
        <v>2918</v>
      </c>
      <c r="T15" s="56">
        <f t="shared" si="3"/>
        <v>401</v>
      </c>
      <c r="U15" s="50"/>
      <c r="V15" s="152">
        <v>3017</v>
      </c>
      <c r="W15" s="116">
        <v>3128</v>
      </c>
      <c r="X15" s="71">
        <f t="shared" si="4"/>
        <v>111</v>
      </c>
      <c r="Z15" s="65">
        <f>RANK(P15,$P$4:$P$28,1)+COUNTIF($P$4:P15,P15)-1</f>
        <v>14</v>
      </c>
      <c r="AA15" s="68" t="str">
        <f>INDEX(C4:P28,MATCH(12,Z4:Z28,0),1)</f>
        <v>Tarnobrzeg</v>
      </c>
      <c r="AB15" s="56">
        <f>INDEX(C4:P28,MATCH(12,Z4:Z28,0),14)</f>
        <v>-106</v>
      </c>
      <c r="AC15" s="123"/>
      <c r="AD15" s="124">
        <f>RANK(T15,$T$4:$T$28,1)+COUNTIF($T$4:T15,T15)-1</f>
        <v>25</v>
      </c>
      <c r="AE15" s="68" t="str">
        <f>INDEX(C4:T28,MATCH(12,AD4:AD28,0),1)</f>
        <v>Przemyśl</v>
      </c>
      <c r="AF15" s="56">
        <f>INDEX(C4:T28,MATCH(12,AD4:AD28,0),18)</f>
        <v>-144</v>
      </c>
      <c r="AG15" s="85"/>
      <c r="AH15" s="127">
        <v>12</v>
      </c>
      <c r="AI15" s="128">
        <f t="shared" si="5"/>
        <v>-11</v>
      </c>
    </row>
    <row r="16" spans="2:35" x14ac:dyDescent="0.2">
      <c r="B16" s="138">
        <v>13</v>
      </c>
      <c r="C16" s="88" t="s">
        <v>12</v>
      </c>
      <c r="D16" s="133">
        <v>925</v>
      </c>
      <c r="E16" s="62">
        <v>919</v>
      </c>
      <c r="F16" s="111">
        <f t="shared" si="0"/>
        <v>-6</v>
      </c>
      <c r="G16" s="77"/>
      <c r="H16" s="57">
        <v>397</v>
      </c>
      <c r="I16" s="56">
        <v>372</v>
      </c>
      <c r="J16" s="71">
        <f t="shared" si="1"/>
        <v>-25</v>
      </c>
      <c r="K16" s="80"/>
      <c r="L16" s="57">
        <v>247</v>
      </c>
      <c r="M16" s="56">
        <v>170</v>
      </c>
      <c r="N16" s="71">
        <f t="shared" si="2"/>
        <v>-77</v>
      </c>
      <c r="O16" s="80"/>
      <c r="P16" s="65">
        <f t="shared" si="6"/>
        <v>-108</v>
      </c>
      <c r="Q16" s="84"/>
      <c r="R16" s="152">
        <v>3116</v>
      </c>
      <c r="S16" s="56">
        <v>3011</v>
      </c>
      <c r="T16" s="56">
        <f t="shared" si="3"/>
        <v>-105</v>
      </c>
      <c r="U16" s="50"/>
      <c r="V16" s="152">
        <v>3043</v>
      </c>
      <c r="W16" s="116">
        <v>2858</v>
      </c>
      <c r="X16" s="71">
        <f t="shared" si="4"/>
        <v>-185</v>
      </c>
      <c r="Z16" s="65">
        <f>RANK(P16,$P$4:$P$28,1)+COUNTIF($P$4:P16,P16)-1</f>
        <v>11</v>
      </c>
      <c r="AA16" s="68" t="str">
        <f>INDEX(C4:P28,MATCH(13,Z4:Z28,0),1)</f>
        <v>dębicki</v>
      </c>
      <c r="AB16" s="56">
        <f>INDEX(C4:P28,MATCH(13,Z4:Z28,0),14)</f>
        <v>-79</v>
      </c>
      <c r="AC16" s="123"/>
      <c r="AD16" s="124">
        <f>RANK(T16,$T$4:$T$28,1)+COUNTIF($T$4:T16,T16)-1</f>
        <v>16</v>
      </c>
      <c r="AE16" s="68" t="str">
        <f>INDEX(C4:T28,MATCH(13,AD4:AD28,0),1)</f>
        <v>bieszczadzki</v>
      </c>
      <c r="AF16" s="56">
        <f>INDEX(C4:T28,MATCH(13,AD4:AD28,0),18)</f>
        <v>-139</v>
      </c>
      <c r="AG16" s="85"/>
      <c r="AH16" s="127">
        <v>13</v>
      </c>
      <c r="AI16" s="128">
        <f t="shared" si="5"/>
        <v>-5</v>
      </c>
    </row>
    <row r="17" spans="2:35" x14ac:dyDescent="0.2">
      <c r="B17" s="138">
        <v>14</v>
      </c>
      <c r="C17" s="88" t="s">
        <v>13</v>
      </c>
      <c r="D17" s="133">
        <v>933</v>
      </c>
      <c r="E17" s="62">
        <v>986</v>
      </c>
      <c r="F17" s="111">
        <f t="shared" si="0"/>
        <v>53</v>
      </c>
      <c r="G17" s="77"/>
      <c r="H17" s="57">
        <v>314</v>
      </c>
      <c r="I17" s="56">
        <v>343</v>
      </c>
      <c r="J17" s="71">
        <f t="shared" si="1"/>
        <v>29</v>
      </c>
      <c r="K17" s="80"/>
      <c r="L17" s="57">
        <v>86</v>
      </c>
      <c r="M17" s="56">
        <v>79</v>
      </c>
      <c r="N17" s="71">
        <f t="shared" si="2"/>
        <v>-7</v>
      </c>
      <c r="O17" s="80"/>
      <c r="P17" s="65">
        <f t="shared" si="6"/>
        <v>75</v>
      </c>
      <c r="Q17" s="84"/>
      <c r="R17" s="152">
        <v>3084</v>
      </c>
      <c r="S17" s="56">
        <v>2757</v>
      </c>
      <c r="T17" s="56">
        <f t="shared" si="3"/>
        <v>-327</v>
      </c>
      <c r="U17" s="50"/>
      <c r="V17" s="152">
        <v>2963</v>
      </c>
      <c r="W17" s="116">
        <v>2793</v>
      </c>
      <c r="X17" s="71">
        <f t="shared" si="4"/>
        <v>-170</v>
      </c>
      <c r="Z17" s="65">
        <f>RANK(P17,$P$4:$P$28,1)+COUNTIF($P$4:P17,P17)-1</f>
        <v>25</v>
      </c>
      <c r="AA17" s="68" t="str">
        <f>INDEX(C4:P28,MATCH(14,Z4:Z28,0),1)</f>
        <v>mielecki</v>
      </c>
      <c r="AB17" s="56">
        <f>INDEX(C4:P28,MATCH(14,Z4:Z28,0),14)</f>
        <v>-68</v>
      </c>
      <c r="AC17" s="123"/>
      <c r="AD17" s="124">
        <f>RANK(T17,$T$4:$T$28,1)+COUNTIF($T$4:T17,T17)-1</f>
        <v>5</v>
      </c>
      <c r="AE17" s="68" t="str">
        <f>INDEX(C4:T28,MATCH(14,AD4:AD28,0),1)</f>
        <v>lubaczowski</v>
      </c>
      <c r="AF17" s="56">
        <f>INDEX(C4:T28,MATCH(14,AD4:AD28,0),18)</f>
        <v>-139</v>
      </c>
      <c r="AG17" s="85"/>
      <c r="AH17" s="127">
        <v>14</v>
      </c>
      <c r="AI17" s="128">
        <f t="shared" si="5"/>
        <v>20</v>
      </c>
    </row>
    <row r="18" spans="2:35" x14ac:dyDescent="0.2">
      <c r="B18" s="138">
        <v>15</v>
      </c>
      <c r="C18" s="88" t="s">
        <v>14</v>
      </c>
      <c r="D18" s="133">
        <v>1435</v>
      </c>
      <c r="E18" s="62">
        <v>1450</v>
      </c>
      <c r="F18" s="111">
        <f t="shared" si="0"/>
        <v>15</v>
      </c>
      <c r="G18" s="77"/>
      <c r="H18" s="57">
        <v>578</v>
      </c>
      <c r="I18" s="56">
        <v>433</v>
      </c>
      <c r="J18" s="71">
        <f t="shared" si="1"/>
        <v>-145</v>
      </c>
      <c r="K18" s="80"/>
      <c r="L18" s="57">
        <v>348</v>
      </c>
      <c r="M18" s="56">
        <v>285</v>
      </c>
      <c r="N18" s="71">
        <f t="shared" si="2"/>
        <v>-63</v>
      </c>
      <c r="O18" s="80"/>
      <c r="P18" s="135">
        <f>F18+J18+N18</f>
        <v>-193</v>
      </c>
      <c r="Q18" s="84"/>
      <c r="R18" s="152">
        <v>3654</v>
      </c>
      <c r="S18" s="56">
        <v>3300</v>
      </c>
      <c r="T18" s="56">
        <f t="shared" si="3"/>
        <v>-354</v>
      </c>
      <c r="U18" s="50"/>
      <c r="V18" s="152">
        <v>3397</v>
      </c>
      <c r="W18" s="116">
        <v>3286</v>
      </c>
      <c r="X18" s="71">
        <f t="shared" si="4"/>
        <v>-111</v>
      </c>
      <c r="Z18" s="65">
        <f>RANK(P18,$P$4:$P$28,1)+COUNTIF($P$4:P18,P18)-1</f>
        <v>4</v>
      </c>
      <c r="AA18" s="68" t="str">
        <f>INDEX(C4:P28,MATCH(15,Z4:Z28,0),1)</f>
        <v>lubaczowski</v>
      </c>
      <c r="AB18" s="56">
        <f>INDEX(C4:P28,MATCH(15,Z4:Z28,0),14)</f>
        <v>-55</v>
      </c>
      <c r="AC18" s="123"/>
      <c r="AD18" s="124">
        <f>RANK(T18,$T$4:$T$28,1)+COUNTIF($T$4:T18,T18)-1</f>
        <v>3</v>
      </c>
      <c r="AE18" s="68" t="str">
        <f>INDEX(C4:T28,MATCH(15,AD4:AD28,0),1)</f>
        <v>łańcucki</v>
      </c>
      <c r="AF18" s="56">
        <f>INDEX(C4:T28,MATCH(15,AD4:AD28,0),18)</f>
        <v>-109</v>
      </c>
      <c r="AG18" s="85"/>
      <c r="AH18" s="127">
        <v>15</v>
      </c>
      <c r="AI18" s="128">
        <f t="shared" si="5"/>
        <v>1</v>
      </c>
    </row>
    <row r="19" spans="2:35" ht="12" customHeight="1" x14ac:dyDescent="0.2">
      <c r="B19" s="138">
        <v>16</v>
      </c>
      <c r="C19" s="88" t="s">
        <v>15</v>
      </c>
      <c r="D19" s="133">
        <v>1200</v>
      </c>
      <c r="E19" s="62">
        <v>1195</v>
      </c>
      <c r="F19" s="111">
        <f t="shared" si="0"/>
        <v>-5</v>
      </c>
      <c r="G19" s="77"/>
      <c r="H19" s="57">
        <v>311</v>
      </c>
      <c r="I19" s="56">
        <v>268</v>
      </c>
      <c r="J19" s="71">
        <f t="shared" si="1"/>
        <v>-43</v>
      </c>
      <c r="K19" s="80"/>
      <c r="L19" s="57">
        <v>176</v>
      </c>
      <c r="M19" s="56">
        <v>177</v>
      </c>
      <c r="N19" s="71">
        <f t="shared" si="2"/>
        <v>1</v>
      </c>
      <c r="O19" s="80"/>
      <c r="P19" s="135">
        <f t="shared" si="6"/>
        <v>-47</v>
      </c>
      <c r="Q19" s="84"/>
      <c r="R19" s="152">
        <v>2769</v>
      </c>
      <c r="S19" s="56">
        <v>2594</v>
      </c>
      <c r="T19" s="56">
        <f t="shared" si="3"/>
        <v>-175</v>
      </c>
      <c r="U19" s="50"/>
      <c r="V19" s="152">
        <v>2551</v>
      </c>
      <c r="W19" s="116">
        <v>2583</v>
      </c>
      <c r="X19" s="71">
        <f t="shared" si="4"/>
        <v>32</v>
      </c>
      <c r="Z19" s="65">
        <f>RANK(P19,$P$4:$P$28,1)+COUNTIF($P$4:P19,P19)-1</f>
        <v>17</v>
      </c>
      <c r="AA19" s="68" t="str">
        <f>INDEX(C4:P28,MATCH(16,Z4:Z28,0),1)</f>
        <v>leski</v>
      </c>
      <c r="AB19" s="56">
        <f>INDEX(C4:P28,MATCH(16,Z4:Z28,0),14)</f>
        <v>-53</v>
      </c>
      <c r="AC19" s="123"/>
      <c r="AD19" s="124">
        <f>RANK(T19,$T$4:$T$28,1)+COUNTIF($T$4:T19,T19)-1</f>
        <v>10</v>
      </c>
      <c r="AE19" s="68" t="str">
        <f>INDEX(C4:T28,MATCH(16,AD4:AD28,0),1)</f>
        <v>niżański</v>
      </c>
      <c r="AF19" s="56">
        <f>INDEX(C4:T28,MATCH(16,AD4:AD28,0),18)</f>
        <v>-105</v>
      </c>
      <c r="AG19" s="85"/>
      <c r="AH19" s="127">
        <v>16</v>
      </c>
      <c r="AI19" s="128">
        <f t="shared" si="5"/>
        <v>7</v>
      </c>
    </row>
    <row r="20" spans="2:35" x14ac:dyDescent="0.2">
      <c r="B20" s="138">
        <v>17</v>
      </c>
      <c r="C20" s="88" t="s">
        <v>16</v>
      </c>
      <c r="D20" s="133">
        <v>2008</v>
      </c>
      <c r="E20" s="62">
        <v>1941</v>
      </c>
      <c r="F20" s="111">
        <f t="shared" si="0"/>
        <v>-67</v>
      </c>
      <c r="G20" s="77"/>
      <c r="H20" s="57">
        <v>335</v>
      </c>
      <c r="I20" s="56">
        <v>418</v>
      </c>
      <c r="J20" s="71">
        <f t="shared" si="1"/>
        <v>83</v>
      </c>
      <c r="K20" s="80"/>
      <c r="L20" s="57">
        <v>170</v>
      </c>
      <c r="M20" s="56">
        <v>197</v>
      </c>
      <c r="N20" s="71">
        <f t="shared" si="2"/>
        <v>27</v>
      </c>
      <c r="O20" s="80"/>
      <c r="P20" s="65">
        <f t="shared" si="6"/>
        <v>43</v>
      </c>
      <c r="Q20" s="84"/>
      <c r="R20" s="152">
        <v>4962</v>
      </c>
      <c r="S20" s="56">
        <v>4625</v>
      </c>
      <c r="T20" s="56">
        <f t="shared" si="3"/>
        <v>-337</v>
      </c>
      <c r="U20" s="50"/>
      <c r="V20" s="152">
        <v>4670</v>
      </c>
      <c r="W20" s="116">
        <v>4455</v>
      </c>
      <c r="X20" s="71">
        <f t="shared" si="4"/>
        <v>-215</v>
      </c>
      <c r="Z20" s="65">
        <f>RANK(P20,$P$4:$P$28,1)+COUNTIF($P$4:P20,P20)-1</f>
        <v>22</v>
      </c>
      <c r="AA20" s="68" t="str">
        <f>INDEX(C4:P28,MATCH(17,Z4:Z28,0),1)</f>
        <v>ropczycko-sędziszowski</v>
      </c>
      <c r="AB20" s="56">
        <f>INDEX(C4:P28,MATCH(17,Z4:Z28,0),14)</f>
        <v>-47</v>
      </c>
      <c r="AC20" s="123"/>
      <c r="AD20" s="124">
        <f>RANK(T20,$T$4:$T$28,1)+COUNTIF($T$4:T20,T20)-1</f>
        <v>4</v>
      </c>
      <c r="AE20" s="68" t="str">
        <f>INDEX(C4:T28,MATCH(17,AD4:AD28,0),1)</f>
        <v>kolbuszowski</v>
      </c>
      <c r="AF20" s="56">
        <f>INDEX(C4:T28,MATCH(17,AD4:AD28,0),18)</f>
        <v>-66</v>
      </c>
      <c r="AG20" s="85"/>
      <c r="AH20" s="127">
        <v>17</v>
      </c>
      <c r="AI20" s="128">
        <f t="shared" si="5"/>
        <v>18</v>
      </c>
    </row>
    <row r="21" spans="2:35" x14ac:dyDescent="0.2">
      <c r="B21" s="138">
        <v>18</v>
      </c>
      <c r="C21" s="88" t="s">
        <v>17</v>
      </c>
      <c r="D21" s="133">
        <v>1109</v>
      </c>
      <c r="E21" s="62">
        <v>1158</v>
      </c>
      <c r="F21" s="111">
        <f t="shared" si="0"/>
        <v>49</v>
      </c>
      <c r="G21" s="77"/>
      <c r="H21" s="57">
        <v>309</v>
      </c>
      <c r="I21" s="56">
        <v>288</v>
      </c>
      <c r="J21" s="71">
        <f t="shared" si="1"/>
        <v>-21</v>
      </c>
      <c r="K21" s="80"/>
      <c r="L21" s="57">
        <v>110</v>
      </c>
      <c r="M21" s="56">
        <v>106</v>
      </c>
      <c r="N21" s="71">
        <f t="shared" si="2"/>
        <v>-4</v>
      </c>
      <c r="O21" s="80"/>
      <c r="P21" s="65">
        <f t="shared" si="6"/>
        <v>24</v>
      </c>
      <c r="Q21" s="84"/>
      <c r="R21" s="152">
        <v>2644</v>
      </c>
      <c r="S21" s="56">
        <v>2664</v>
      </c>
      <c r="T21" s="56">
        <f t="shared" si="3"/>
        <v>20</v>
      </c>
      <c r="U21" s="50"/>
      <c r="V21" s="152">
        <v>2737</v>
      </c>
      <c r="W21" s="116">
        <v>2714</v>
      </c>
      <c r="X21" s="71">
        <f t="shared" si="4"/>
        <v>-23</v>
      </c>
      <c r="Z21" s="65">
        <f>RANK(P21,$P$4:$P$28,1)+COUNTIF($P$4:P21,P21)-1</f>
        <v>21</v>
      </c>
      <c r="AA21" s="68" t="str">
        <f>INDEX(C4:P28,MATCH(18,Z4:Z28,0),1)</f>
        <v>jasielski</v>
      </c>
      <c r="AB21" s="56">
        <f>INDEX(C4:P28,MATCH(18,Z4:Z28,0),14)</f>
        <v>-38</v>
      </c>
      <c r="AC21" s="123"/>
      <c r="AD21" s="124">
        <f>RANK(T21,$T$4:$T$28,1)+COUNTIF($T$4:T21,T21)-1</f>
        <v>21</v>
      </c>
      <c r="AE21" s="68" t="str">
        <f>INDEX(C4:T28,MATCH(18,AD4:AD28,0),1)</f>
        <v>dębicki</v>
      </c>
      <c r="AF21" s="56">
        <f>INDEX(C4:T28,MATCH(18,AD4:AD28,0),18)</f>
        <v>-37</v>
      </c>
      <c r="AG21" s="85"/>
      <c r="AH21" s="127">
        <v>18</v>
      </c>
      <c r="AI21" s="128">
        <f t="shared" si="5"/>
        <v>0</v>
      </c>
    </row>
    <row r="22" spans="2:35" x14ac:dyDescent="0.2">
      <c r="B22" s="138">
        <v>19</v>
      </c>
      <c r="C22" s="88" t="s">
        <v>18</v>
      </c>
      <c r="D22" s="133">
        <v>1144</v>
      </c>
      <c r="E22" s="62">
        <v>1035</v>
      </c>
      <c r="F22" s="111">
        <f t="shared" si="0"/>
        <v>-109</v>
      </c>
      <c r="G22" s="77"/>
      <c r="H22" s="57">
        <v>197</v>
      </c>
      <c r="I22" s="56">
        <v>197</v>
      </c>
      <c r="J22" s="71">
        <f t="shared" si="1"/>
        <v>0</v>
      </c>
      <c r="K22" s="80"/>
      <c r="L22" s="57">
        <v>166</v>
      </c>
      <c r="M22" s="56">
        <v>160</v>
      </c>
      <c r="N22" s="71">
        <f t="shared" si="2"/>
        <v>-6</v>
      </c>
      <c r="O22" s="80"/>
      <c r="P22" s="65">
        <f t="shared" si="6"/>
        <v>-115</v>
      </c>
      <c r="Q22" s="84"/>
      <c r="R22" s="152">
        <v>1841</v>
      </c>
      <c r="S22" s="56">
        <v>1923</v>
      </c>
      <c r="T22" s="56">
        <f t="shared" si="3"/>
        <v>82</v>
      </c>
      <c r="U22" s="50"/>
      <c r="V22" s="152">
        <v>1943</v>
      </c>
      <c r="W22" s="116">
        <v>1980</v>
      </c>
      <c r="X22" s="71">
        <f t="shared" si="4"/>
        <v>37</v>
      </c>
      <c r="Z22" s="65">
        <f>RANK(P22,$P$4:$P$28,1)+COUNTIF($P$4:P22,P22)-1</f>
        <v>10</v>
      </c>
      <c r="AA22" s="68" t="str">
        <f>INDEX(C4:P28,MATCH(19,Z4:Z28,0),1)</f>
        <v>brzozowski</v>
      </c>
      <c r="AB22" s="56">
        <f>INDEX(C4:P28,MATCH(19,Z4:Z28,0),14)</f>
        <v>-29</v>
      </c>
      <c r="AC22" s="123"/>
      <c r="AD22" s="124">
        <f>RANK(T22,$T$4:$T$28,1)+COUNTIF($T$4:T22,T22)-1</f>
        <v>23</v>
      </c>
      <c r="AE22" s="68" t="str">
        <f>INDEX(C4:T28,MATCH(19,AD4:AD28,0),1)</f>
        <v>tarnobrzeski</v>
      </c>
      <c r="AF22" s="56">
        <f>INDEX(C4:T28,MATCH(19,AD4:AD28,0),18)</f>
        <v>-16</v>
      </c>
      <c r="AG22" s="85"/>
      <c r="AH22" s="127">
        <v>19</v>
      </c>
      <c r="AI22" s="128">
        <f t="shared" si="5"/>
        <v>-13</v>
      </c>
    </row>
    <row r="23" spans="2:35" x14ac:dyDescent="0.2">
      <c r="B23" s="138">
        <v>20</v>
      </c>
      <c r="C23" s="88" t="s">
        <v>19</v>
      </c>
      <c r="D23" s="133">
        <v>1298</v>
      </c>
      <c r="E23" s="62">
        <v>1333</v>
      </c>
      <c r="F23" s="111">
        <f t="shared" si="0"/>
        <v>35</v>
      </c>
      <c r="G23" s="77"/>
      <c r="H23" s="57">
        <v>368</v>
      </c>
      <c r="I23" s="56">
        <v>332</v>
      </c>
      <c r="J23" s="71">
        <f t="shared" si="1"/>
        <v>-36</v>
      </c>
      <c r="K23" s="80"/>
      <c r="L23" s="57">
        <v>444</v>
      </c>
      <c r="M23" s="56">
        <v>207</v>
      </c>
      <c r="N23" s="71">
        <f t="shared" si="2"/>
        <v>-237</v>
      </c>
      <c r="O23" s="80"/>
      <c r="P23" s="65">
        <f t="shared" si="6"/>
        <v>-238</v>
      </c>
      <c r="Q23" s="84"/>
      <c r="R23" s="152">
        <v>3266</v>
      </c>
      <c r="S23" s="56">
        <v>3030</v>
      </c>
      <c r="T23" s="56">
        <f t="shared" si="3"/>
        <v>-236</v>
      </c>
      <c r="U23" s="50"/>
      <c r="V23" s="152">
        <v>3125</v>
      </c>
      <c r="W23" s="116">
        <v>3044</v>
      </c>
      <c r="X23" s="71">
        <f t="shared" si="4"/>
        <v>-81</v>
      </c>
      <c r="Z23" s="65">
        <f>RANK(P23,$P$4:$P$28,1)+COUNTIF($P$4:P23,P23)-1</f>
        <v>2</v>
      </c>
      <c r="AA23" s="68" t="str">
        <f>INDEX(C4:P28,MATCH(20,Z4:Z28,0),1)</f>
        <v>Przemyśl</v>
      </c>
      <c r="AB23" s="56">
        <f>INDEX(C4:P28,MATCH(20,Z4:Z28,0),14)</f>
        <v>0</v>
      </c>
      <c r="AC23" s="123"/>
      <c r="AD23" s="124">
        <f>RANK(T23,$T$4:$T$28,1)+COUNTIF($T$4:T23,T23)-1</f>
        <v>7</v>
      </c>
      <c r="AE23" s="68" t="str">
        <f>INDEX(C4:T28,MATCH(20,AD4:AD28,0),1)</f>
        <v>Tarnobrzeg</v>
      </c>
      <c r="AF23" s="56">
        <f>INDEX(C4:T28,MATCH(20,AD4:AD28,0),18)</f>
        <v>13</v>
      </c>
      <c r="AG23" s="85"/>
      <c r="AH23" s="127">
        <v>20</v>
      </c>
      <c r="AI23" s="128">
        <f t="shared" si="5"/>
        <v>-5</v>
      </c>
    </row>
    <row r="24" spans="2:35" ht="12" thickBot="1" x14ac:dyDescent="0.25">
      <c r="B24" s="138">
        <v>21</v>
      </c>
      <c r="C24" s="89" t="s">
        <v>56</v>
      </c>
      <c r="D24" s="134">
        <v>672</v>
      </c>
      <c r="E24" s="81">
        <v>611</v>
      </c>
      <c r="F24" s="112">
        <f t="shared" si="0"/>
        <v>-61</v>
      </c>
      <c r="G24" s="77"/>
      <c r="H24" s="60">
        <v>244</v>
      </c>
      <c r="I24" s="58">
        <v>210</v>
      </c>
      <c r="J24" s="73">
        <f t="shared" si="1"/>
        <v>-34</v>
      </c>
      <c r="K24" s="80"/>
      <c r="L24" s="60">
        <v>133</v>
      </c>
      <c r="M24" s="58">
        <v>65</v>
      </c>
      <c r="N24" s="73">
        <f t="shared" si="2"/>
        <v>-68</v>
      </c>
      <c r="O24" s="80"/>
      <c r="P24" s="136">
        <f t="shared" si="6"/>
        <v>-163</v>
      </c>
      <c r="Q24" s="84"/>
      <c r="R24" s="153">
        <v>1284</v>
      </c>
      <c r="S24" s="58">
        <v>1268</v>
      </c>
      <c r="T24" s="59">
        <f t="shared" si="3"/>
        <v>-16</v>
      </c>
      <c r="U24" s="50"/>
      <c r="V24" s="153">
        <v>1251</v>
      </c>
      <c r="W24" s="118">
        <v>1254</v>
      </c>
      <c r="X24" s="72">
        <f t="shared" si="4"/>
        <v>3</v>
      </c>
      <c r="Z24" s="121">
        <f>RANK(P24,$P$4:$P$28,1)+COUNTIF($P$4:P24,P24)-1</f>
        <v>5</v>
      </c>
      <c r="AA24" s="93" t="str">
        <f>INDEX(C4:P28,MATCH(21,Z4:Z28,0),1)</f>
        <v>sanocki</v>
      </c>
      <c r="AB24" s="59">
        <f>INDEX(C4:P28,MATCH(21,Z4:Z28,0),14)</f>
        <v>24</v>
      </c>
      <c r="AC24" s="123"/>
      <c r="AD24" s="125">
        <f>RANK(T24,$T$4:$T$28,1)+COUNTIF($T$4:T24,T24)-1</f>
        <v>19</v>
      </c>
      <c r="AE24" s="93" t="str">
        <f>INDEX(C4:T28,MATCH(21,AD4:AD28,0),1)</f>
        <v>sanocki</v>
      </c>
      <c r="AF24" s="59">
        <f>INDEX(C4:T28,MATCH(21,AD4:AD28,0),18)</f>
        <v>20</v>
      </c>
      <c r="AG24" s="85"/>
      <c r="AH24" s="127">
        <v>21</v>
      </c>
      <c r="AI24" s="128">
        <f t="shared" si="5"/>
        <v>-14</v>
      </c>
    </row>
    <row r="25" spans="2:35" x14ac:dyDescent="0.2">
      <c r="B25" s="138">
        <v>22</v>
      </c>
      <c r="C25" s="90" t="s">
        <v>21</v>
      </c>
      <c r="D25" s="133">
        <v>393</v>
      </c>
      <c r="E25" s="63">
        <v>445</v>
      </c>
      <c r="F25" s="113">
        <f t="shared" si="0"/>
        <v>52</v>
      </c>
      <c r="G25" s="78"/>
      <c r="H25" s="57">
        <v>96</v>
      </c>
      <c r="I25" s="56">
        <v>84</v>
      </c>
      <c r="J25" s="71">
        <f t="shared" si="1"/>
        <v>-12</v>
      </c>
      <c r="K25" s="80"/>
      <c r="L25" s="57">
        <v>36</v>
      </c>
      <c r="M25" s="56">
        <v>40</v>
      </c>
      <c r="N25" s="71">
        <f t="shared" si="2"/>
        <v>4</v>
      </c>
      <c r="O25" s="80"/>
      <c r="P25" s="65">
        <f t="shared" si="6"/>
        <v>44</v>
      </c>
      <c r="Q25" s="84"/>
      <c r="R25" s="152">
        <v>720</v>
      </c>
      <c r="S25" s="56">
        <v>781</v>
      </c>
      <c r="T25" s="54">
        <f t="shared" si="3"/>
        <v>61</v>
      </c>
      <c r="U25" s="50"/>
      <c r="V25" s="152">
        <v>790</v>
      </c>
      <c r="W25" s="116">
        <v>805</v>
      </c>
      <c r="X25" s="115">
        <f t="shared" si="4"/>
        <v>15</v>
      </c>
      <c r="Z25" s="64">
        <f>RANK(P25,$P$4:$P$28,1)+COUNTIF($P$4:P25,P25)-1</f>
        <v>23</v>
      </c>
      <c r="AA25" s="67" t="str">
        <f>INDEX(C4:P28,MATCH(22,Z4:Z28,0),1)</f>
        <v>rzeszowski</v>
      </c>
      <c r="AB25" s="54">
        <f>INDEX(C4:P28,MATCH(22,Z4:Z28,0),14)</f>
        <v>43</v>
      </c>
      <c r="AC25" s="123"/>
      <c r="AD25" s="64">
        <f>RANK(T25,$T$4:$T$28,1)+COUNTIF($T$4:T25,T25)-1</f>
        <v>22</v>
      </c>
      <c r="AE25" s="67" t="str">
        <f>INDEX(C4:T28,MATCH(22,AD4:AD28,0),1)</f>
        <v>Krosno</v>
      </c>
      <c r="AF25" s="54">
        <f>INDEX(C4:T28,MATCH(22,AD4:AD28,0),18)</f>
        <v>61</v>
      </c>
      <c r="AG25" s="85"/>
      <c r="AH25" s="127">
        <v>22</v>
      </c>
      <c r="AI25" s="128">
        <f t="shared" si="5"/>
        <v>1</v>
      </c>
    </row>
    <row r="26" spans="2:35" x14ac:dyDescent="0.2">
      <c r="B26" s="138">
        <v>23</v>
      </c>
      <c r="C26" s="90" t="s">
        <v>22</v>
      </c>
      <c r="D26" s="133">
        <v>692</v>
      </c>
      <c r="E26" s="63">
        <v>673</v>
      </c>
      <c r="F26" s="113">
        <f t="shared" si="0"/>
        <v>-19</v>
      </c>
      <c r="G26" s="78"/>
      <c r="H26" s="57">
        <v>235</v>
      </c>
      <c r="I26" s="56">
        <v>259</v>
      </c>
      <c r="J26" s="71">
        <f t="shared" si="1"/>
        <v>24</v>
      </c>
      <c r="K26" s="80"/>
      <c r="L26" s="57">
        <v>56</v>
      </c>
      <c r="M26" s="56">
        <v>51</v>
      </c>
      <c r="N26" s="71">
        <f t="shared" si="2"/>
        <v>-5</v>
      </c>
      <c r="O26" s="80"/>
      <c r="P26" s="65">
        <f t="shared" si="6"/>
        <v>0</v>
      </c>
      <c r="Q26" s="84"/>
      <c r="R26" s="152">
        <v>2487</v>
      </c>
      <c r="S26" s="56">
        <v>2343</v>
      </c>
      <c r="T26" s="56">
        <f t="shared" si="3"/>
        <v>-144</v>
      </c>
      <c r="U26" s="50"/>
      <c r="V26" s="152">
        <v>2346</v>
      </c>
      <c r="W26" s="116">
        <v>2282</v>
      </c>
      <c r="X26" s="71">
        <f t="shared" si="4"/>
        <v>-64</v>
      </c>
      <c r="Z26" s="65">
        <f>RANK(P26,$P$4:$P$28,1)+COUNTIF($P$4:P26,P26)-1</f>
        <v>20</v>
      </c>
      <c r="AA26" s="68" t="str">
        <f>INDEX(C4:P28,MATCH(23,Z4:Z28,0),1)</f>
        <v>Krosno</v>
      </c>
      <c r="AB26" s="56">
        <f>INDEX(C4:P28,MATCH(23,Z4:Z28,0),14)</f>
        <v>44</v>
      </c>
      <c r="AC26" s="123"/>
      <c r="AD26" s="124">
        <f>RANK(T26,$T$4:$T$28,1)+COUNTIF($T$4:T26,T26)-1</f>
        <v>12</v>
      </c>
      <c r="AE26" s="68" t="str">
        <f>INDEX(C4:T28,MATCH(23,AD4:AD28,0),1)</f>
        <v>stalowowolski</v>
      </c>
      <c r="AF26" s="56">
        <f>INDEX(C4:T28,MATCH(23,AD4:AD28,0),18)</f>
        <v>82</v>
      </c>
      <c r="AG26" s="85"/>
      <c r="AH26" s="127">
        <v>23</v>
      </c>
      <c r="AI26" s="128">
        <f t="shared" si="5"/>
        <v>8</v>
      </c>
    </row>
    <row r="27" spans="2:35" x14ac:dyDescent="0.2">
      <c r="B27" s="138">
        <v>24</v>
      </c>
      <c r="C27" s="90" t="s">
        <v>23</v>
      </c>
      <c r="D27" s="133">
        <v>2280</v>
      </c>
      <c r="E27" s="63">
        <v>2090</v>
      </c>
      <c r="F27" s="113">
        <f t="shared" si="0"/>
        <v>-190</v>
      </c>
      <c r="G27" s="78"/>
      <c r="H27" s="57">
        <v>372</v>
      </c>
      <c r="I27" s="56">
        <v>444</v>
      </c>
      <c r="J27" s="71">
        <f t="shared" si="1"/>
        <v>72</v>
      </c>
      <c r="K27" s="80"/>
      <c r="L27" s="57">
        <v>216</v>
      </c>
      <c r="M27" s="56">
        <v>197</v>
      </c>
      <c r="N27" s="71">
        <f t="shared" si="2"/>
        <v>-19</v>
      </c>
      <c r="O27" s="80"/>
      <c r="P27" s="65">
        <f t="shared" si="6"/>
        <v>-137</v>
      </c>
      <c r="Q27" s="84"/>
      <c r="R27" s="152">
        <v>5452</v>
      </c>
      <c r="S27" s="56">
        <v>5257</v>
      </c>
      <c r="T27" s="56">
        <f t="shared" si="3"/>
        <v>-195</v>
      </c>
      <c r="U27" s="50"/>
      <c r="V27" s="152">
        <v>5033</v>
      </c>
      <c r="W27" s="116">
        <v>5083</v>
      </c>
      <c r="X27" s="71">
        <f t="shared" si="4"/>
        <v>50</v>
      </c>
      <c r="Z27" s="65">
        <f>RANK(P27,$P$4:$P$28,1)+COUNTIF($P$4:P27,P27)-1</f>
        <v>8</v>
      </c>
      <c r="AA27" s="68" t="str">
        <f>INDEX(C4:P28,MATCH(24,Z4:Z28,0),1)</f>
        <v>krośnieński</v>
      </c>
      <c r="AB27" s="56">
        <f>INDEX(C4:P28,MATCH(24,Z4:Z28,0),14)</f>
        <v>49</v>
      </c>
      <c r="AC27" s="123"/>
      <c r="AD27" s="124">
        <f>RANK(T27,$T$4:$T$28,1)+COUNTIF($T$4:T27,T27)-1</f>
        <v>9</v>
      </c>
      <c r="AE27" s="68" t="str">
        <f>INDEX(C4:T28,MATCH(24,AD4:AD28,0),1)</f>
        <v>krośnieński</v>
      </c>
      <c r="AF27" s="56">
        <f>INDEX(C4:T28,MATCH(24,AD4:AD28,0),18)</f>
        <v>108</v>
      </c>
      <c r="AG27" s="85"/>
      <c r="AH27" s="127">
        <v>24</v>
      </c>
      <c r="AI27" s="128">
        <f t="shared" si="5"/>
        <v>-1</v>
      </c>
    </row>
    <row r="28" spans="2:35" ht="12" thickBot="1" x14ac:dyDescent="0.25">
      <c r="B28" s="138">
        <v>25</v>
      </c>
      <c r="C28" s="91" t="s">
        <v>24</v>
      </c>
      <c r="D28" s="134">
        <v>555</v>
      </c>
      <c r="E28" s="82">
        <v>551</v>
      </c>
      <c r="F28" s="114">
        <f t="shared" si="0"/>
        <v>-4</v>
      </c>
      <c r="G28" s="78"/>
      <c r="H28" s="60">
        <v>171</v>
      </c>
      <c r="I28" s="58">
        <v>128</v>
      </c>
      <c r="J28" s="73">
        <f t="shared" si="1"/>
        <v>-43</v>
      </c>
      <c r="K28" s="80"/>
      <c r="L28" s="60">
        <v>145</v>
      </c>
      <c r="M28" s="58">
        <v>86</v>
      </c>
      <c r="N28" s="73">
        <f t="shared" si="2"/>
        <v>-59</v>
      </c>
      <c r="O28" s="80"/>
      <c r="P28" s="92">
        <f t="shared" si="6"/>
        <v>-106</v>
      </c>
      <c r="Q28" s="84"/>
      <c r="R28" s="153">
        <v>1065</v>
      </c>
      <c r="S28" s="58">
        <v>1078</v>
      </c>
      <c r="T28" s="58">
        <f t="shared" si="3"/>
        <v>13</v>
      </c>
      <c r="U28" s="50"/>
      <c r="V28" s="153">
        <v>1065</v>
      </c>
      <c r="W28" s="118">
        <v>1087</v>
      </c>
      <c r="X28" s="73">
        <f t="shared" si="4"/>
        <v>22</v>
      </c>
      <c r="Z28" s="92">
        <f>RANK(P28,$P$4:$P$28,1)+COUNTIF($P$4:P28,P28)-1</f>
        <v>12</v>
      </c>
      <c r="AA28" s="69" t="str">
        <f>INDEX(C4:P28,MATCH(25,Z4:Z28,0),1)</f>
        <v>przemyski</v>
      </c>
      <c r="AB28" s="58">
        <f>INDEX(C4:P28,MATCH(25,Z4:Z28,0),14)</f>
        <v>75</v>
      </c>
      <c r="AC28" s="123"/>
      <c r="AD28" s="126">
        <f>RANK(T28,$T$4:$T$28,1)+COUNTIF($T$4:T28,T28)-1</f>
        <v>20</v>
      </c>
      <c r="AE28" s="69" t="str">
        <f>INDEX(C4:T28,MATCH(25,AD4:AD28,0),1)</f>
        <v>mielecki</v>
      </c>
      <c r="AF28" s="58">
        <f>INDEX(C4:T28,MATCH(25,AD4:AD28,0),18)</f>
        <v>401</v>
      </c>
      <c r="AG28" s="85"/>
      <c r="AH28" s="127">
        <v>25</v>
      </c>
      <c r="AI28" s="128">
        <f t="shared" si="5"/>
        <v>-8</v>
      </c>
    </row>
    <row r="29" spans="2:35" ht="12" thickBot="1" x14ac:dyDescent="0.25">
      <c r="C29" s="94" t="s">
        <v>57</v>
      </c>
      <c r="D29" s="95">
        <f>SUM(D4:D28)</f>
        <v>28274</v>
      </c>
      <c r="E29" s="99">
        <f>SUM(E4:E28)</f>
        <v>27626</v>
      </c>
      <c r="F29" s="100">
        <f t="shared" ref="F29:S29" si="7">SUM(F4:F28)</f>
        <v>-648</v>
      </c>
      <c r="G29" s="80"/>
      <c r="H29" s="97">
        <f t="shared" si="7"/>
        <v>7936</v>
      </c>
      <c r="I29" s="96">
        <f t="shared" si="7"/>
        <v>7255</v>
      </c>
      <c r="J29" s="100">
        <f t="shared" si="7"/>
        <v>-681</v>
      </c>
      <c r="K29" s="80"/>
      <c r="L29" s="97">
        <f t="shared" si="7"/>
        <v>4864</v>
      </c>
      <c r="M29" s="96">
        <f t="shared" si="7"/>
        <v>3920</v>
      </c>
      <c r="N29" s="100">
        <f t="shared" si="7"/>
        <v>-944</v>
      </c>
      <c r="O29" s="80"/>
      <c r="P29" s="98">
        <f t="shared" si="7"/>
        <v>-2273</v>
      </c>
      <c r="Q29" s="85"/>
      <c r="R29" s="154">
        <f t="shared" si="7"/>
        <v>69046</v>
      </c>
      <c r="S29" s="96">
        <f t="shared" si="7"/>
        <v>65861</v>
      </c>
      <c r="T29" s="99">
        <f>SUM(T4:T28)</f>
        <v>-3185</v>
      </c>
      <c r="U29" s="50"/>
      <c r="V29" s="154">
        <f>SUM(V4:V28)</f>
        <v>67653</v>
      </c>
      <c r="W29" s="119">
        <f>SUM(W4:W28)</f>
        <v>65380</v>
      </c>
      <c r="X29" s="119">
        <f>SUM(W29-V29)</f>
        <v>-2273</v>
      </c>
      <c r="Z29" s="120"/>
      <c r="AA29" s="120"/>
      <c r="AB29" s="120"/>
      <c r="AC29" s="85"/>
      <c r="AD29" s="120"/>
      <c r="AE29" s="120"/>
      <c r="AF29" s="120"/>
      <c r="AG29" s="85"/>
      <c r="AH29" s="85"/>
      <c r="AI29" s="74"/>
    </row>
    <row r="30" spans="2:35" x14ac:dyDescent="0.2">
      <c r="Q30" s="86"/>
    </row>
  </sheetData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710937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7109375" style="3" customWidth="1"/>
    <col min="26" max="26" width="22.42578125" style="3" customWidth="1"/>
    <col min="27" max="27" width="6.5703125" style="3" customWidth="1"/>
    <col min="28" max="28" width="15.140625" style="3" customWidth="1"/>
    <col min="29" max="29" width="13.140625" style="3" customWidth="1"/>
    <col min="30" max="30" width="4" style="3" customWidth="1"/>
    <col min="31" max="31" width="7.5703125" style="3" customWidth="1"/>
    <col min="32" max="32" width="13.42578125" style="3" customWidth="1"/>
    <col min="33" max="33" width="12.7109375" style="3" customWidth="1"/>
    <col min="34" max="16384" width="9.140625" style="3"/>
  </cols>
  <sheetData>
    <row r="1" spans="2:33" x14ac:dyDescent="0.2">
      <c r="B1" s="2" t="s">
        <v>32</v>
      </c>
      <c r="V1" s="2" t="s">
        <v>66</v>
      </c>
      <c r="AA1" s="2" t="s">
        <v>67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31-08-'24 r.</v>
      </c>
      <c r="E3" s="38" t="str">
        <f>T('1bezr.'!D2)</f>
        <v>liczba bezrobotnych ogółem stan na 31-07-'24 r.</v>
      </c>
      <c r="F3" s="37" t="str">
        <f>T('1bezr.'!E2)</f>
        <v>wzrost/spadek do miesiąca poprzedniego</v>
      </c>
      <c r="G3" s="38" t="str">
        <f>T('1bezr.'!F2)</f>
        <v>liczba bezrobotnych ogółem stan na 31-08-'23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42"/>
      <c r="AA3" s="43" t="s">
        <v>42</v>
      </c>
      <c r="AB3" s="36" t="str">
        <f>T('1bezr.'!B2)</f>
        <v>powiaty</v>
      </c>
      <c r="AC3" s="36" t="str">
        <f>T('1bezr.'!C2)</f>
        <v>liczba bezrobotnych ogółem stan na 31-08-'24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31-08-'24 r.</v>
      </c>
    </row>
    <row r="4" spans="2:33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4">
        <f>INDEX('1bezr.'!B3:G28,MATCH(1,B4:B29,0),2)</f>
        <v>805</v>
      </c>
      <c r="E4" s="42">
        <f>INDEX('1bezr.'!B3:G28,MATCH(1,B4:B29,0),3)</f>
        <v>784</v>
      </c>
      <c r="F4" s="6">
        <f>INDEX('1bezr.'!B3:G28,MATCH(1,B4:B29,0),4)</f>
        <v>21</v>
      </c>
      <c r="G4" s="42">
        <f>INDEX('1bezr.'!B3:G28,MATCH(1,B4:B29,0),5)</f>
        <v>781</v>
      </c>
      <c r="H4" s="6">
        <f>INDEX('1bezr.'!B3:G28,MATCH(1,B4:B29,0),6)</f>
        <v>24</v>
      </c>
      <c r="V4" s="6">
        <f>RANK('1bezr.'!E3,'1bezr.'!$E$3:'1bezr.'!$E$28,1)+COUNTIF('1bezr.'!$E$3:'1bezr.'!E3,'1bezr.'!E3)-1</f>
        <v>10</v>
      </c>
      <c r="W4" s="147" t="str">
        <f>INDEX('1bezr.'!B3:G28,MATCH(1,V4:V29,0),1)</f>
        <v>niżański</v>
      </c>
      <c r="X4" s="148">
        <f>INDEX('1bezr.'!E3:G28,MATCH(1,V4:V29,0),1)</f>
        <v>-20</v>
      </c>
      <c r="Y4" s="149">
        <v>1</v>
      </c>
      <c r="Z4" s="2"/>
      <c r="AA4" s="6">
        <f>RANK('1bezr.'!C3,'1bezr.'!$C$3:'1bezr.'!$C$28,1)+COUNTIF('1bezr.'!$C$3:'1bezr.'!C3,'1bezr.'!C3)-1</f>
        <v>2</v>
      </c>
      <c r="AB4" s="144" t="str">
        <f>INDEX('1bezr.'!B3:G28,MATCH(25,AA4:AA29,0),1)</f>
        <v>Rzeszów</v>
      </c>
      <c r="AC4" s="145">
        <f>INDEX('1bezr.'!B3:G28,MATCH(25,AA4:AA29,0),2)</f>
        <v>5083</v>
      </c>
      <c r="AE4" s="6">
        <f>RANK('1bezr.'!C3,'1bezr.'!$C$3:'1bezr.'!$C$28,1)+COUNTIF('1bezr.'!$C$3:'1bezr.'!C3,'1bezr.'!C3)-1</f>
        <v>2</v>
      </c>
      <c r="AF4" s="144" t="str">
        <f>INDEX('1bezr.'!B3:G28,MATCH(1,AE4:AE29,0),1)</f>
        <v>Krosno</v>
      </c>
      <c r="AG4" s="145">
        <f>INDEX('1bezr.'!B3:K28,MATCH(1,AE4:AE29,0),2)</f>
        <v>805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1020</v>
      </c>
      <c r="E5" s="42">
        <f>INDEX('1bezr.'!B3:G28,MATCH(2,B4:B29,0),3)</f>
        <v>1000</v>
      </c>
      <c r="F5" s="6">
        <f>INDEX('1bezr.'!B3:G28,MATCH(2,B4:B29,0),4)</f>
        <v>20</v>
      </c>
      <c r="G5" s="42">
        <f>INDEX('1bezr.'!B3:G28,MATCH(2,B4:B29,0),5)</f>
        <v>973</v>
      </c>
      <c r="H5" s="6">
        <f>INDEX('1bezr.'!B3:G28,MATCH(2,B4:B29,0),6)</f>
        <v>47</v>
      </c>
      <c r="V5" s="6">
        <f>RANK('1bezr.'!E4,'1bezr.'!$E$3:'1bezr.'!$E$28,1)+COUNTIF('1bezr.'!$E$3:'1bezr.'!E4,'1bezr.'!E4)-1</f>
        <v>20</v>
      </c>
      <c r="W5" s="147" t="str">
        <f>INDEX('1bezr.'!B3:G28,MATCH(2,V4:V29,0),1)</f>
        <v>jarosławski</v>
      </c>
      <c r="X5" s="6">
        <f>INDEX('1bezr.'!E3:G28,MATCH(2,V4:V29,0),1)</f>
        <v>-10</v>
      </c>
      <c r="Y5" s="160">
        <v>2</v>
      </c>
      <c r="Z5" s="2"/>
      <c r="AA5" s="6">
        <f>RANK('1bezr.'!C4,'1bezr.'!$C$3:'1bezr.'!$C$28,1)+COUNTIF('1bezr.'!$C$3:'1bezr.'!C4,'1bezr.'!C4)-1</f>
        <v>21</v>
      </c>
      <c r="AB5" s="144" t="str">
        <f>INDEX('1bezr.'!B3:G28,MATCH(24,AA4:AA29,0),1)</f>
        <v>jasielski</v>
      </c>
      <c r="AC5" s="145">
        <f>INDEX('1bezr.'!B3:K28,MATCH(24,AA4:AA29,0),2)</f>
        <v>4717</v>
      </c>
      <c r="AE5" s="6">
        <f>RANK('1bezr.'!C4,'1bezr.'!$C$3:'1bezr.'!$C$28,1)+COUNTIF('1bezr.'!$C$3:'1bezr.'!C4,'1bezr.'!C4)-1</f>
        <v>21</v>
      </c>
      <c r="AF5" s="144" t="str">
        <f>INDEX('1bezr.'!B3:G28,MATCH(2,AE4:AE29,0),1)</f>
        <v>bieszczadzki</v>
      </c>
      <c r="AG5" s="145">
        <f>INDEX('1bezr.'!B3:K28,MATCH(2,AE4:AE29,0),2)</f>
        <v>1020</v>
      </c>
    </row>
    <row r="6" spans="2:33" x14ac:dyDescent="0.2">
      <c r="B6" s="6">
        <f>RANK('1bezr.'!C5,'1bezr.'!$C$3:'1bezr.'!$C$28,1)+COUNTIF('1bezr.'!$C$3:'1bezr.'!C5,'1bezr.'!C5)-1</f>
        <v>11</v>
      </c>
      <c r="C6" s="5" t="str">
        <f>INDEX('1bezr.'!B3:G28,MATCH(3,B4:B29,0),1)</f>
        <v>Tarnobrzeg</v>
      </c>
      <c r="D6" s="6">
        <f>INDEX('1bezr.'!B3:G28,MATCH(3,B4:B29,0),2)</f>
        <v>1087</v>
      </c>
      <c r="E6" s="42">
        <f>INDEX('1bezr.'!B3:G28,MATCH(3,B4:B29,0),3)</f>
        <v>1058</v>
      </c>
      <c r="F6" s="6">
        <f>INDEX('1bezr.'!B3:G28,MATCH(3,B4:B29,0),4)</f>
        <v>29</v>
      </c>
      <c r="G6" s="42">
        <f>INDEX('1bezr.'!B3:G28,MATCH(3,B4:B29,0),5)</f>
        <v>1078</v>
      </c>
      <c r="H6" s="6">
        <f>INDEX('1bezr.'!B3:G28,MATCH(3,B4:B29,0),6)</f>
        <v>9</v>
      </c>
      <c r="V6" s="6">
        <f>RANK('1bezr.'!E5,'1bezr.'!$E$3:'1bezr.'!$E$28,1)+COUNTIF('1bezr.'!$E$3:'1bezr.'!E5,'1bezr.'!E5)-1</f>
        <v>22</v>
      </c>
      <c r="W6" s="161" t="str">
        <f>INDEX('1bezr.'!B3:G28,MATCH(3,V4:V29,0),1)</f>
        <v>sanocki</v>
      </c>
      <c r="X6" s="6">
        <f>INDEX('1bezr.'!E3:G28,MATCH(3,V4:V29,0),1)</f>
        <v>-7</v>
      </c>
      <c r="Y6" s="160">
        <v>3</v>
      </c>
      <c r="Z6" s="2"/>
      <c r="AA6" s="6">
        <f>RANK('1bezr.'!C5,'1bezr.'!$C$3:'1bezr.'!$C$28,1)+COUNTIF('1bezr.'!$C$3:'1bezr.'!C5,'1bezr.'!C5)-1</f>
        <v>11</v>
      </c>
      <c r="AB6" s="144" t="str">
        <f>INDEX('1bezr.'!B3:G28,MATCH(23,AA4:AA29,0),1)</f>
        <v>rzeszowski</v>
      </c>
      <c r="AC6" s="145">
        <f>INDEX('1bezr.'!B3:K28,MATCH(23,AA4:AA29,0),2)</f>
        <v>4455</v>
      </c>
      <c r="AE6" s="6">
        <f>RANK('1bezr.'!C5,'1bezr.'!$C$3:'1bezr.'!$C$28,1)+COUNTIF('1bezr.'!$C$3:'1bezr.'!C5,'1bezr.'!C5)-1</f>
        <v>11</v>
      </c>
      <c r="AF6" s="144" t="str">
        <f>INDEX('1bezr.'!B3:G28,MATCH(3,AE4:AE29,0),1)</f>
        <v>Tarnobrzeg</v>
      </c>
      <c r="AG6" s="145">
        <f>INDEX('1bezr.'!B3:K28,MATCH(3,AE4:AE29,0),2)</f>
        <v>1087</v>
      </c>
    </row>
    <row r="7" spans="2:33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1254</v>
      </c>
      <c r="E7" s="42">
        <f>INDEX('1bezr.'!B3:G28,MATCH(4,B4:B29,0),3)</f>
        <v>1252</v>
      </c>
      <c r="F7" s="6">
        <f>INDEX('1bezr.'!B3:G28,MATCH(4,B4:B29,0),4)</f>
        <v>2</v>
      </c>
      <c r="G7" s="42">
        <f>INDEX('1bezr.'!B3:G28,MATCH(4,B4:B29,0),5)</f>
        <v>1268</v>
      </c>
      <c r="H7" s="6">
        <f>INDEX('1bezr.'!B3:G28,MATCH(4,B4:B29,0),6)</f>
        <v>-14</v>
      </c>
      <c r="V7" s="6">
        <f>RANK('1bezr.'!E6,'1bezr.'!$E$3:'1bezr.'!$E$28,1)+COUNTIF('1bezr.'!$E$3:'1bezr.'!E6,'1bezr.'!E6)-1</f>
        <v>2</v>
      </c>
      <c r="W7" s="161" t="str">
        <f>INDEX('1bezr.'!B3:G28,MATCH(4,V4:V29,0),1)</f>
        <v>krośnieński</v>
      </c>
      <c r="X7" s="6">
        <f>INDEX('1bezr.'!E3:G28,MATCH(4,V4:V29,0),1)</f>
        <v>-4</v>
      </c>
      <c r="Y7" s="160">
        <v>4</v>
      </c>
      <c r="Z7" s="2"/>
      <c r="AA7" s="6">
        <f>RANK('1bezr.'!C6,'1bezr.'!$C$3:'1bezr.'!$C$28,1)+COUNTIF('1bezr.'!$C$3:'1bezr.'!C6,'1bezr.'!C6)-1</f>
        <v>22</v>
      </c>
      <c r="AB7" s="144" t="str">
        <f>INDEX('1bezr.'!B3:G28,MATCH(22,AA4:AA29,0),1)</f>
        <v>jarosławski</v>
      </c>
      <c r="AC7" s="145">
        <f>INDEX('1bezr.'!B3:K28,MATCH(22,AA4:AA29,0),2)</f>
        <v>4280</v>
      </c>
      <c r="AE7" s="6">
        <f>RANK('1bezr.'!C6,'1bezr.'!$C$3:'1bezr.'!$C$28,1)+COUNTIF('1bezr.'!$C$3:'1bezr.'!C6,'1bezr.'!C6)-1</f>
        <v>22</v>
      </c>
      <c r="AF7" s="144" t="str">
        <f>INDEX('1bezr.'!B3:G28,MATCH(4,AE4:AE29,0),1)</f>
        <v xml:space="preserve">tarnobrzeski </v>
      </c>
      <c r="AG7" s="145">
        <f>INDEX('1bezr.'!B3:K28,MATCH(4,AE4:AE29,0),2)</f>
        <v>1254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leski</v>
      </c>
      <c r="D8" s="6">
        <f>INDEX('1bezr.'!B3:G28,MATCH(5,B4:B29,0),2)</f>
        <v>1512</v>
      </c>
      <c r="E8" s="42">
        <f>INDEX('1bezr.'!B3:G28,MATCH(5,B4:B29,0),3)</f>
        <v>1492</v>
      </c>
      <c r="F8" s="6">
        <f>INDEX('1bezr.'!B3:G28,MATCH(5,B4:B29,0),4)</f>
        <v>20</v>
      </c>
      <c r="G8" s="42">
        <f>INDEX('1bezr.'!B3:G28,MATCH(5,B4:B29,0),5)</f>
        <v>1541</v>
      </c>
      <c r="H8" s="6">
        <f>INDEX('1bezr.'!B3:G28,MATCH(5,B4:B29,0),6)</f>
        <v>-29</v>
      </c>
      <c r="V8" s="6">
        <f>RANK('1bezr.'!E7,'1bezr.'!$E$3:'1bezr.'!$E$28,1)+COUNTIF('1bezr.'!$E$3:'1bezr.'!E7,'1bezr.'!E7)-1</f>
        <v>8</v>
      </c>
      <c r="W8" s="161" t="str">
        <f>INDEX('1bezr.'!B3:G28,MATCH(5,V4:V29,0),1)</f>
        <v>rzeszowski</v>
      </c>
      <c r="X8" s="6">
        <f>INDEX('1bezr.'!E3:G28,MATCH(5,V4:V29,0),1)</f>
        <v>-3</v>
      </c>
      <c r="Y8" s="160">
        <v>5</v>
      </c>
      <c r="Z8" s="2"/>
      <c r="AA8" s="6">
        <f>RANK('1bezr.'!C7,'1bezr.'!$C$3:'1bezr.'!$C$28,1)+COUNTIF('1bezr.'!$C$3:'1bezr.'!C7,'1bezr.'!C7)-1</f>
        <v>24</v>
      </c>
      <c r="AB8" s="144" t="str">
        <f>INDEX('1bezr.'!B3:G28,MATCH(21,AA4:AA29,0),1)</f>
        <v>brzozowski</v>
      </c>
      <c r="AC8" s="145">
        <f>INDEX('1bezr.'!B3:K28,MATCH(21,AA4:AA29,0),2)</f>
        <v>3535</v>
      </c>
      <c r="AE8" s="6">
        <f>RANK('1bezr.'!C7,'1bezr.'!$C$3:'1bezr.'!$C$28,1)+COUNTIF('1bezr.'!$C$3:'1bezr.'!C7,'1bezr.'!C7)-1</f>
        <v>24</v>
      </c>
      <c r="AF8" s="144" t="str">
        <f>INDEX('1bezr.'!B3:G28,MATCH(5,AE4:AE29,0),1)</f>
        <v>leski</v>
      </c>
      <c r="AG8" s="145">
        <f>INDEX('1bezr.'!B3:K28,MATCH(5,AE4:AE29,0),2)</f>
        <v>1512</v>
      </c>
    </row>
    <row r="9" spans="2:33" x14ac:dyDescent="0.2">
      <c r="B9" s="6">
        <f>RANK('1bezr.'!C8,'1bezr.'!$C$3:'1bezr.'!$C$28,1)+COUNTIF('1bezr.'!$C$3:'1bezr.'!C8,'1bezr.'!C8)-1</f>
        <v>6</v>
      </c>
      <c r="C9" s="5" t="str">
        <f>INDEX('1bezr.'!B3:G28,MATCH(6,B4:B29,0),1)</f>
        <v>kolbuszowski</v>
      </c>
      <c r="D9" s="6">
        <f>INDEX('1bezr.'!B3:G28,MATCH(6,B4:B29,0),2)</f>
        <v>1544</v>
      </c>
      <c r="E9" s="42">
        <f>INDEX('1bezr.'!B3:G28,MATCH(6,B4:B29,0),3)</f>
        <v>1505</v>
      </c>
      <c r="F9" s="6">
        <f>INDEX('1bezr.'!B3:G28,MATCH(6,B4:B29,0),4)</f>
        <v>39</v>
      </c>
      <c r="G9" s="42">
        <f>INDEX('1bezr.'!B3:G28,MATCH(6,B4:B29,0),5)</f>
        <v>1511</v>
      </c>
      <c r="H9" s="6">
        <f>INDEX('1bezr.'!B3:G28,MATCH(6,B4:B29,0),6)</f>
        <v>33</v>
      </c>
      <c r="V9" s="6">
        <f>RANK('1bezr.'!E8,'1bezr.'!$E$3:'1bezr.'!$E$28,1)+COUNTIF('1bezr.'!$E$3:'1bezr.'!E8,'1bezr.'!E8)-1</f>
        <v>17</v>
      </c>
      <c r="W9" s="163" t="str">
        <f>INDEX('1bezr.'!B3:G28,MATCH(6,V4:V29,0),1)</f>
        <v>strzyżowski</v>
      </c>
      <c r="X9" s="164">
        <f>INDEX('1bezr.'!E3:G28,MATCH(6,V4:V29,0),1)</f>
        <v>2</v>
      </c>
      <c r="Y9" s="165">
        <v>1</v>
      </c>
      <c r="Z9" s="2"/>
      <c r="AA9" s="6">
        <f>RANK('1bezr.'!C8,'1bezr.'!$C$3:'1bezr.'!$C$28,1)+COUNTIF('1bezr.'!$C$3:'1bezr.'!C8,'1bezr.'!C8)-1</f>
        <v>6</v>
      </c>
      <c r="AB9" s="144" t="str">
        <f>INDEX('1bezr.'!B3:G28,MATCH(20,AA4:AA29,0),1)</f>
        <v>przeworski</v>
      </c>
      <c r="AC9" s="145">
        <f>INDEX('1bezr.'!B3:K28,MATCH(20,AA4:AA29,0),2)</f>
        <v>3286</v>
      </c>
      <c r="AE9" s="6">
        <f>RANK('1bezr.'!C8,'1bezr.'!$C$3:'1bezr.'!$C$28,1)+COUNTIF('1bezr.'!$C$3:'1bezr.'!C8,'1bezr.'!C8)-1</f>
        <v>6</v>
      </c>
      <c r="AF9" s="144" t="str">
        <f>INDEX('1bezr.'!B3:G28,MATCH(6,AE4:AE29,0),1)</f>
        <v>kolbuszowski</v>
      </c>
      <c r="AG9" s="145">
        <f>INDEX('1bezr.'!B3:K28,MATCH(6,AE4:AE29,0),2)</f>
        <v>1544</v>
      </c>
    </row>
    <row r="10" spans="2:33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1638</v>
      </c>
      <c r="E10" s="42">
        <f>INDEX('1bezr.'!B3:G28,MATCH(7,B4:B29,0),3)</f>
        <v>1594</v>
      </c>
      <c r="F10" s="6">
        <f>INDEX('1bezr.'!B3:G28,MATCH(7,B4:B29,0),4)</f>
        <v>44</v>
      </c>
      <c r="G10" s="42">
        <f>INDEX('1bezr.'!B3:G28,MATCH(7,B4:B29,0),5)</f>
        <v>1692</v>
      </c>
      <c r="H10" s="6">
        <f>INDEX('1bezr.'!B3:G28,MATCH(7,B4:B29,0),6)</f>
        <v>-54</v>
      </c>
      <c r="V10" s="6">
        <f>RANK('1bezr.'!E9,'1bezr.'!$E$3:'1bezr.'!$E$28,1)+COUNTIF('1bezr.'!$E$3:'1bezr.'!E9,'1bezr.'!E9)-1</f>
        <v>4</v>
      </c>
      <c r="W10" s="166" t="str">
        <f>INDEX('1bezr.'!B3:G28,MATCH(7,V4:V29,0),1)</f>
        <v xml:space="preserve">tarnobrzeski </v>
      </c>
      <c r="X10" s="164">
        <f>INDEX('1bezr.'!E3:G28,MATCH(7,V4:V29,0),1)</f>
        <v>2</v>
      </c>
      <c r="Y10" s="165">
        <v>2</v>
      </c>
      <c r="Z10" s="2"/>
      <c r="AA10" s="6">
        <f>RANK('1bezr.'!C9,'1bezr.'!$C$3:'1bezr.'!$C$28,1)+COUNTIF('1bezr.'!$C$3:'1bezr.'!C9,'1bezr.'!C9)-1</f>
        <v>9</v>
      </c>
      <c r="AB10" s="146" t="str">
        <f>INDEX('1bezr.'!B3:G28,MATCH(19,AA4:AA29,0),1)</f>
        <v>mielecki</v>
      </c>
      <c r="AC10" s="145">
        <f>INDEX('1bezr.'!B3:K28,MATCH(19,AA4:AA29,0),2)</f>
        <v>3128</v>
      </c>
      <c r="AE10" s="6">
        <f>RANK('1bezr.'!C9,'1bezr.'!$C$3:'1bezr.'!$C$28,1)+COUNTIF('1bezr.'!$C$3:'1bezr.'!C9,'1bezr.'!C9)-1</f>
        <v>9</v>
      </c>
      <c r="AF10" s="146" t="str">
        <f>INDEX('1bezr.'!B3:G28,MATCH(7,AE4:AE29,0),1)</f>
        <v>lubaczowski</v>
      </c>
      <c r="AG10" s="145">
        <f>INDEX('1bezr.'!B3:K28,MATCH(7,AE4:AE29,0),2)</f>
        <v>1638</v>
      </c>
    </row>
    <row r="11" spans="2:33" x14ac:dyDescent="0.2">
      <c r="B11" s="6">
        <f>RANK('1bezr.'!C10,'1bezr.'!$C$3:'1bezr.'!$C$28,1)+COUNTIF('1bezr.'!$C$3:'1bezr.'!C10,'1bezr.'!C10)-1</f>
        <v>5</v>
      </c>
      <c r="C11" s="5" t="str">
        <f>INDEX('1bezr.'!B3:G28,MATCH(8,B4:B29,0),1)</f>
        <v>stalowowolski</v>
      </c>
      <c r="D11" s="6">
        <f>INDEX('1bezr.'!B3:G28,MATCH(8,B4:B29,0),2)</f>
        <v>1980</v>
      </c>
      <c r="E11" s="42">
        <f>INDEX('1bezr.'!B3:G28,MATCH(8,B4:B29,0),3)</f>
        <v>1960</v>
      </c>
      <c r="F11" s="6">
        <f>INDEX('1bezr.'!B3:G28,MATCH(8,B4:B29,0),4)</f>
        <v>20</v>
      </c>
      <c r="G11" s="42">
        <f>INDEX('1bezr.'!B3:G28,MATCH(8,B4:B29,0),5)</f>
        <v>1923</v>
      </c>
      <c r="H11" s="6">
        <f>INDEX('1bezr.'!B3:G28,MATCH(8,B4:B29,0),6)</f>
        <v>57</v>
      </c>
      <c r="V11" s="6">
        <f>RANK('1bezr.'!E10,'1bezr.'!$E$3:'1bezr.'!$E$28,1)+COUNTIF('1bezr.'!$E$3:'1bezr.'!E10,'1bezr.'!E10)-1</f>
        <v>11</v>
      </c>
      <c r="W11" s="163" t="str">
        <f>INDEX('1bezr.'!B3:G28,MATCH(8,V4:V29,0),1)</f>
        <v>jasielski</v>
      </c>
      <c r="X11" s="164">
        <f>INDEX('1bezr.'!E3:G28,MATCH(8,V4:V29,0),1)</f>
        <v>11</v>
      </c>
      <c r="Y11" s="165">
        <v>3</v>
      </c>
      <c r="Z11" s="2"/>
      <c r="AA11" s="6">
        <f>RANK('1bezr.'!C10,'1bezr.'!$C$3:'1bezr.'!$C$28,1)+COUNTIF('1bezr.'!$C$3:'1bezr.'!C10,'1bezr.'!C10)-1</f>
        <v>5</v>
      </c>
      <c r="AB11" s="144" t="str">
        <f>INDEX('1bezr.'!B3:G28,MATCH(18,AA4:AA29,0),1)</f>
        <v>strzyżowski</v>
      </c>
      <c r="AC11" s="145">
        <f>INDEX('1bezr.'!B3:K28,MATCH(18,AA4:AA29,0),2)</f>
        <v>3044</v>
      </c>
      <c r="AE11" s="6">
        <f>RANK('1bezr.'!C10,'1bezr.'!$C$3:'1bezr.'!$C$28,1)+COUNTIF('1bezr.'!$C$3:'1bezr.'!C10,'1bezr.'!C10)-1</f>
        <v>5</v>
      </c>
      <c r="AF11" s="144" t="str">
        <f>INDEX('1bezr.'!B3:G28,MATCH(8,AE4:AE29,0),1)</f>
        <v>stalowowolski</v>
      </c>
      <c r="AG11" s="145">
        <f>INDEX('1bezr.'!B3:K28,MATCH(8,AE4:AE29,0),2)</f>
        <v>1980</v>
      </c>
    </row>
    <row r="12" spans="2:33" x14ac:dyDescent="0.2">
      <c r="B12" s="6">
        <f>RANK('1bezr.'!C11,'1bezr.'!$C$3:'1bezr.'!$C$28,1)+COUNTIF('1bezr.'!$C$3:'1bezr.'!C11,'1bezr.'!C11)-1</f>
        <v>16</v>
      </c>
      <c r="C12" s="5" t="str">
        <f>INDEX('1bezr.'!B3:G28,MATCH(9,B4:B29,0),1)</f>
        <v>krośnieński</v>
      </c>
      <c r="D12" s="6">
        <f>INDEX('1bezr.'!B3:G28,MATCH(9,B4:B29,0),2)</f>
        <v>2154</v>
      </c>
      <c r="E12" s="42">
        <f>INDEX('1bezr.'!B3:G28,MATCH(9,B4:B29,0),3)</f>
        <v>2158</v>
      </c>
      <c r="F12" s="6">
        <f>INDEX('1bezr.'!B3:G28,MATCH(9,B4:B29,0),4)</f>
        <v>-4</v>
      </c>
      <c r="G12" s="42">
        <f>INDEX('1bezr.'!B3:G28,MATCH(9,B4:B29,0),5)</f>
        <v>2126</v>
      </c>
      <c r="H12" s="6">
        <f>INDEX('1bezr.'!B3:G28,MATCH(9,B4:B29,0),6)</f>
        <v>28</v>
      </c>
      <c r="V12" s="6">
        <f>RANK('1bezr.'!E11,'1bezr.'!$E$3:'1bezr.'!$E$28,1)+COUNTIF('1bezr.'!$E$3:'1bezr.'!E11,'1bezr.'!E11)-1</f>
        <v>18</v>
      </c>
      <c r="W12" s="163" t="str">
        <f>INDEX('1bezr.'!B3:G28,MATCH(9,V4:V29,0),1)</f>
        <v>ropczycko-sędziszowski</v>
      </c>
      <c r="X12" s="164">
        <f>INDEX('1bezr.'!E3:G28,MATCH(9,V4:V29,0),1)</f>
        <v>13</v>
      </c>
      <c r="Y12" s="165">
        <v>4</v>
      </c>
      <c r="Z12" s="2"/>
      <c r="AA12" s="6">
        <f>RANK('1bezr.'!C11,'1bezr.'!$C$3:'1bezr.'!$C$28,1)+COUNTIF('1bezr.'!$C$3:'1bezr.'!C11,'1bezr.'!C11)-1</f>
        <v>16</v>
      </c>
      <c r="AB12" s="144" t="str">
        <f>INDEX('1bezr.'!B3:G28,MATCH(17,AA4:AA29,0),1)</f>
        <v>niżański</v>
      </c>
      <c r="AC12" s="145">
        <f>INDEX('1bezr.'!B3:K28,MATCH(17,AA4:AA29,0),2)</f>
        <v>2858</v>
      </c>
      <c r="AE12" s="6">
        <f>RANK('1bezr.'!C11,'1bezr.'!$C$3:'1bezr.'!$C$28,1)+COUNTIF('1bezr.'!$C$3:'1bezr.'!C11,'1bezr.'!C11)-1</f>
        <v>16</v>
      </c>
      <c r="AF12" s="140" t="str">
        <f>INDEX('1bezr.'!B3:G28,MATCH(9,AE4:AE29,0),1)</f>
        <v>krośnieński</v>
      </c>
      <c r="AG12" s="6">
        <f>INDEX('1bezr.'!B3:K28,MATCH(9,AE4:AE29,0),2)</f>
        <v>2154</v>
      </c>
    </row>
    <row r="13" spans="2:33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Przemyśl</v>
      </c>
      <c r="D13" s="6">
        <f>INDEX('1bezr.'!B3:G28,MATCH(10,B4:B29,0),2)</f>
        <v>2282</v>
      </c>
      <c r="E13" s="42">
        <f>INDEX('1bezr.'!B3:G28,MATCH(10,B4:B29,0),3)</f>
        <v>2249</v>
      </c>
      <c r="F13" s="6">
        <f>INDEX('1bezr.'!B3:G28,MATCH(10,B4:B29,0),4)</f>
        <v>33</v>
      </c>
      <c r="G13" s="42">
        <f>INDEX('1bezr.'!B3:G28,MATCH(10,B4:B29,0),5)</f>
        <v>2343</v>
      </c>
      <c r="H13" s="6">
        <f>INDEX('1bezr.'!B3:G28,MATCH(10,B4:B29,0),6)</f>
        <v>-61</v>
      </c>
      <c r="V13" s="6">
        <f>RANK('1bezr.'!E12,'1bezr.'!$E$3:'1bezr.'!$E$28,1)+COUNTIF('1bezr.'!$E$3:'1bezr.'!E12,'1bezr.'!E12)-1</f>
        <v>19</v>
      </c>
      <c r="W13" s="163" t="str">
        <f>INDEX('1bezr.'!B3:G28,MATCH(10,V4:V29,0),1)</f>
        <v>bieszczadzki</v>
      </c>
      <c r="X13" s="164">
        <f>INDEX('1bezr.'!E3:G28,MATCH(10,V4:V29,0),1)</f>
        <v>20</v>
      </c>
      <c r="Y13" s="165">
        <v>5</v>
      </c>
      <c r="Z13" s="130"/>
      <c r="AA13" s="6">
        <f>RANK('1bezr.'!C12,'1bezr.'!$C$3:'1bezr.'!$C$28,1)+COUNTIF('1bezr.'!$C$3:'1bezr.'!C12,'1bezr.'!C12)-1</f>
        <v>7</v>
      </c>
      <c r="AB13" s="144" t="str">
        <f>INDEX('1bezr.'!B3:G28,MATCH(16,AA4:AA29,0),1)</f>
        <v>leżajski</v>
      </c>
      <c r="AC13" s="145">
        <f>INDEX('1bezr.'!B3:K28,MATCH(16,AA4:AA29,0),2)</f>
        <v>2853</v>
      </c>
      <c r="AE13" s="6">
        <f>RANK('1bezr.'!C12,'1bezr.'!$C$3:'1bezr.'!$C$28,1)+COUNTIF('1bezr.'!$C$3:'1bezr.'!C12,'1bezr.'!C12)-1</f>
        <v>7</v>
      </c>
      <c r="AF13" s="140" t="str">
        <f>INDEX('1bezr.'!B3:G28,MATCH(10,AE4:AE29,0),1)</f>
        <v>Przemyśl</v>
      </c>
      <c r="AG13" s="6">
        <f>INDEX('1bezr.'!B3:K28,MATCH(10,AE4:AE29,0),2)</f>
        <v>2282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dębicki</v>
      </c>
      <c r="D14" s="6">
        <f>INDEX('1bezr.'!B3:G28,MATCH(11,B4:B29,0),2)</f>
        <v>2297</v>
      </c>
      <c r="E14" s="42">
        <f>INDEX('1bezr.'!B3:G28,MATCH(11,B4:B29,0),3)</f>
        <v>2221</v>
      </c>
      <c r="F14" s="6">
        <f>INDEX('1bezr.'!B3:G28,MATCH(11,B4:B29,0),4)</f>
        <v>76</v>
      </c>
      <c r="G14" s="42">
        <f>INDEX('1bezr.'!B3:G28,MATCH(11,B4:B29,0),5)</f>
        <v>2398</v>
      </c>
      <c r="H14" s="6">
        <f>INDEX('1bezr.'!B3:G28,MATCH(11,B4:B29,0),6)</f>
        <v>-101</v>
      </c>
      <c r="V14" s="6">
        <f>RANK('1bezr.'!E13,'1bezr.'!$E$3:'1bezr.'!$E$28,1)+COUNTIF('1bezr.'!$E$3:'1bezr.'!E13,'1bezr.'!E13)-1</f>
        <v>23</v>
      </c>
      <c r="W14" s="163" t="str">
        <f>INDEX('1bezr.'!B3:G28,MATCH(11,V4:V29,0),1)</f>
        <v>leski</v>
      </c>
      <c r="X14" s="164">
        <f>INDEX('1bezr.'!E3:G28,MATCH(11,V4:V29,0),1)</f>
        <v>20</v>
      </c>
      <c r="Y14" s="165">
        <v>6</v>
      </c>
      <c r="Z14" s="2"/>
      <c r="AA14" s="6">
        <f>RANK('1bezr.'!C13,'1bezr.'!$C$3:'1bezr.'!$C$28,1)+COUNTIF('1bezr.'!$C$3:'1bezr.'!C13,'1bezr.'!C13)-1</f>
        <v>12</v>
      </c>
      <c r="AB14" s="144" t="str">
        <f>INDEX('1bezr.'!B3:G28,MATCH(15,AA4:AA29,0),1)</f>
        <v>przemyski</v>
      </c>
      <c r="AC14" s="145">
        <f>INDEX('1bezr.'!B3:K28,MATCH(15,AA4:AA29,0),2)</f>
        <v>2793</v>
      </c>
      <c r="AE14" s="6">
        <f>RANK('1bezr.'!C13,'1bezr.'!$C$3:'1bezr.'!$C$28,1)+COUNTIF('1bezr.'!$C$3:'1bezr.'!C13,'1bezr.'!C13)-1</f>
        <v>12</v>
      </c>
      <c r="AF14" s="140" t="str">
        <f>INDEX('1bezr.'!B3:G28,MATCH(11,AE4:AE29,0),1)</f>
        <v>dębicki</v>
      </c>
      <c r="AG14" s="6">
        <f>INDEX('1bezr.'!B3:K28,MATCH(11,AE4:AE29,0),2)</f>
        <v>2297</v>
      </c>
    </row>
    <row r="15" spans="2:33" x14ac:dyDescent="0.2">
      <c r="B15" s="6">
        <f>RANK('1bezr.'!C14,'1bezr.'!$C$3:'1bezr.'!$C$28,1)+COUNTIF('1bezr.'!$C$3:'1bezr.'!C14,'1bezr.'!C14)-1</f>
        <v>19</v>
      </c>
      <c r="C15" s="5" t="str">
        <f>INDEX('1bezr.'!B3:G28,MATCH(12,B4:B29,0),1)</f>
        <v>łańcucki</v>
      </c>
      <c r="D15" s="6">
        <f>INDEX('1bezr.'!B3:G28,MATCH(12,B4:B29,0),2)</f>
        <v>2478</v>
      </c>
      <c r="E15" s="42">
        <f>INDEX('1bezr.'!B3:G28,MATCH(12,B4:B29,0),3)</f>
        <v>2387</v>
      </c>
      <c r="F15" s="6">
        <f>INDEX('1bezr.'!B3:G28,MATCH(12,B4:B29,0),4)</f>
        <v>91</v>
      </c>
      <c r="G15" s="42">
        <f>INDEX('1bezr.'!B3:G28,MATCH(12,B4:B29,0),5)</f>
        <v>2520</v>
      </c>
      <c r="H15" s="6">
        <f>INDEX('1bezr.'!B3:G28,MATCH(12,B4:B29,0),6)</f>
        <v>-42</v>
      </c>
      <c r="V15" s="6">
        <f>RANK('1bezr.'!E14,'1bezr.'!$E$3:'1bezr.'!$E$28,1)+COUNTIF('1bezr.'!$E$3:'1bezr.'!E14,'1bezr.'!E14)-1</f>
        <v>25</v>
      </c>
      <c r="W15" s="163" t="str">
        <f>INDEX('1bezr.'!B3:G28,MATCH(12,V4:V29,0),1)</f>
        <v>stalowowolski</v>
      </c>
      <c r="X15" s="164">
        <f>INDEX('1bezr.'!E3:G28,MATCH(12,V4:V29,0),1)</f>
        <v>20</v>
      </c>
      <c r="Y15" s="165">
        <v>7</v>
      </c>
      <c r="Z15" s="2"/>
      <c r="AA15" s="6">
        <f>RANK('1bezr.'!C14,'1bezr.'!$C$3:'1bezr.'!$C$28,1)+COUNTIF('1bezr.'!$C$3:'1bezr.'!C14,'1bezr.'!C14)-1</f>
        <v>19</v>
      </c>
      <c r="AB15" s="144" t="str">
        <f>INDEX('1bezr.'!B3:G28,MATCH(14,AA4:AA29,0),1)</f>
        <v>sanocki</v>
      </c>
      <c r="AC15" s="145">
        <f>INDEX('1bezr.'!B3:K28,MATCH(14,AA4:AA29,0),2)</f>
        <v>2714</v>
      </c>
      <c r="AE15" s="6">
        <f>RANK('1bezr.'!C14,'1bezr.'!$C$3:'1bezr.'!$C$28,1)+COUNTIF('1bezr.'!$C$3:'1bezr.'!C14,'1bezr.'!C14)-1</f>
        <v>19</v>
      </c>
      <c r="AF15" s="140" t="str">
        <f>INDEX('1bezr.'!B3:G28,MATCH(12,AE4:AE29,0),1)</f>
        <v>łańcucki</v>
      </c>
      <c r="AG15" s="6">
        <f>INDEX('1bezr.'!B3:K28,MATCH(12,AE4:AE29,0),2)</f>
        <v>2478</v>
      </c>
    </row>
    <row r="16" spans="2:33" x14ac:dyDescent="0.2">
      <c r="B16" s="6">
        <f>RANK('1bezr.'!C15,'1bezr.'!$C$3:'1bezr.'!$C$28,1)+COUNTIF('1bezr.'!$C$3:'1bezr.'!C15,'1bezr.'!C15)-1</f>
        <v>17</v>
      </c>
      <c r="C16" s="5" t="str">
        <f>INDEX('1bezr.'!B3:G28,MATCH(13,B4:B29,0),1)</f>
        <v>ropczycko-sędziszowski</v>
      </c>
      <c r="D16" s="6">
        <f>INDEX('1bezr.'!B3:G28,MATCH(13,B4:B29,0),2)</f>
        <v>2583</v>
      </c>
      <c r="E16" s="42">
        <f>INDEX('1bezr.'!B3:G28,MATCH(13,B4:B29,0),3)</f>
        <v>2570</v>
      </c>
      <c r="F16" s="6">
        <f>INDEX('1bezr.'!B3:G28,MATCH(13,B4:B29,0),4)</f>
        <v>13</v>
      </c>
      <c r="G16" s="42">
        <f>INDEX('1bezr.'!B3:G28,MATCH(13,B4:B29,0),5)</f>
        <v>2594</v>
      </c>
      <c r="H16" s="6">
        <f>INDEX('1bezr.'!B3:G28,MATCH(13,B4:B29,0),6)</f>
        <v>-11</v>
      </c>
      <c r="V16" s="6">
        <f>RANK('1bezr.'!E15,'1bezr.'!$E$3:'1bezr.'!$E$28,1)+COUNTIF('1bezr.'!$E$3:'1bezr.'!E15,'1bezr.'!E15)-1</f>
        <v>1</v>
      </c>
      <c r="W16" s="163" t="str">
        <f>INDEX('1bezr.'!B3:G28,MATCH(13,V4:V29,0),1)</f>
        <v>Krosno</v>
      </c>
      <c r="X16" s="164">
        <f>INDEX('1bezr.'!E3:G28,MATCH(13,V4:V29,0),1)</f>
        <v>21</v>
      </c>
      <c r="Y16" s="165">
        <v>8</v>
      </c>
      <c r="Z16" s="2"/>
      <c r="AA16" s="6">
        <f>RANK('1bezr.'!C15,'1bezr.'!$C$3:'1bezr.'!$C$28,1)+COUNTIF('1bezr.'!$C$3:'1bezr.'!C15,'1bezr.'!C15)-1</f>
        <v>17</v>
      </c>
      <c r="AB16" s="144" t="str">
        <f>INDEX('1bezr.'!B3:G28,MATCH(13,AA4:AA29,0),1)</f>
        <v>ropczycko-sędziszowski</v>
      </c>
      <c r="AC16" s="145">
        <f>INDEX('1bezr.'!B3:K28,MATCH(13,AA4:AA29,0),2)</f>
        <v>2583</v>
      </c>
      <c r="AE16" s="6">
        <f>RANK('1bezr.'!C15,'1bezr.'!$C$3:'1bezr.'!$C$28,1)+COUNTIF('1bezr.'!$C$3:'1bezr.'!C15,'1bezr.'!C15)-1</f>
        <v>17</v>
      </c>
      <c r="AF16" s="140" t="str">
        <f>INDEX('1bezr.'!B3:G28,MATCH(13,AE4:AE29,0),1)</f>
        <v>ropczycko-sędziszowski</v>
      </c>
      <c r="AG16" s="6">
        <f>INDEX('1bezr.'!B3:K28,MATCH(13,AE4:AE29,0),2)</f>
        <v>2583</v>
      </c>
    </row>
    <row r="17" spans="2:33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2714</v>
      </c>
      <c r="E17" s="42">
        <f>INDEX('1bezr.'!B3:G28,MATCH(14,B4:B29,0),3)</f>
        <v>2721</v>
      </c>
      <c r="F17" s="6">
        <f>INDEX('1bezr.'!B3:G28,MATCH(14,B4:B29,0),4)</f>
        <v>-7</v>
      </c>
      <c r="G17" s="42">
        <f>INDEX('1bezr.'!B3:G28,MATCH(14,B4:B29,0),5)</f>
        <v>2664</v>
      </c>
      <c r="H17" s="6">
        <f>INDEX('1bezr.'!B3:G28,MATCH(14,B4:B29,0),6)</f>
        <v>50</v>
      </c>
      <c r="V17" s="6">
        <f>RANK('1bezr.'!E16,'1bezr.'!$E$3:'1bezr.'!$E$28,1)+COUNTIF('1bezr.'!$E$3:'1bezr.'!E16,'1bezr.'!E16)-1</f>
        <v>14</v>
      </c>
      <c r="W17" s="163" t="str">
        <f>INDEX('1bezr.'!B3:G28,MATCH(14,V4:V29,0),1)</f>
        <v>przemyski</v>
      </c>
      <c r="X17" s="164">
        <f>INDEX('1bezr.'!E3:G28,MATCH(14,V4:V29,0),1)</f>
        <v>22</v>
      </c>
      <c r="Y17" s="165">
        <v>9</v>
      </c>
      <c r="Z17" s="2"/>
      <c r="AA17" s="6">
        <f>RANK('1bezr.'!C16,'1bezr.'!$C$3:'1bezr.'!$C$28,1)+COUNTIF('1bezr.'!$C$3:'1bezr.'!C16,'1bezr.'!C16)-1</f>
        <v>15</v>
      </c>
      <c r="AB17" s="144" t="str">
        <f>INDEX('1bezr.'!B3:G28,MATCH(12,AA4:AA29,0),1)</f>
        <v>łańcucki</v>
      </c>
      <c r="AC17" s="145">
        <f>INDEX('1bezr.'!B3:K28,MATCH(12,AA4:AA29,0),2)</f>
        <v>2478</v>
      </c>
      <c r="AE17" s="6">
        <f>RANK('1bezr.'!C16,'1bezr.'!$C$3:'1bezr.'!$C$28,1)+COUNTIF('1bezr.'!$C$3:'1bezr.'!C16,'1bezr.'!C16)-1</f>
        <v>15</v>
      </c>
      <c r="AF17" s="140" t="str">
        <f>INDEX('1bezr.'!B3:G28,MATCH(14,AE4:AE29,0),1)</f>
        <v>sanocki</v>
      </c>
      <c r="AG17" s="6">
        <f>INDEX('1bezr.'!B3:K28,MATCH(14,AE4:AE29,0),2)</f>
        <v>2714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2793</v>
      </c>
      <c r="E18" s="42">
        <f>INDEX('1bezr.'!B3:G28,MATCH(15,B4:B29,0),3)</f>
        <v>2771</v>
      </c>
      <c r="F18" s="6">
        <f>INDEX('1bezr.'!B3:G28,MATCH(15,B4:B29,0),4)</f>
        <v>22</v>
      </c>
      <c r="G18" s="42">
        <f>INDEX('1bezr.'!B3:G28,MATCH(15,B4:B29,0),5)</f>
        <v>2757</v>
      </c>
      <c r="H18" s="6">
        <f>INDEX('1bezr.'!B3:G28,MATCH(15,B4:B29,0),6)</f>
        <v>36</v>
      </c>
      <c r="V18" s="6">
        <f>RANK('1bezr.'!E17,'1bezr.'!$E$3:'1bezr.'!$E$28,1)+COUNTIF('1bezr.'!$E$3:'1bezr.'!E17,'1bezr.'!E17)-1</f>
        <v>24</v>
      </c>
      <c r="W18" s="163" t="str">
        <f>INDEX('1bezr.'!B3:G28,MATCH(15,V4:V29,0),1)</f>
        <v>Tarnobrzeg</v>
      </c>
      <c r="X18" s="164">
        <f>INDEX('1bezr.'!E3:G28,MATCH(15,V4:V29,0),1)</f>
        <v>29</v>
      </c>
      <c r="Y18" s="165">
        <v>10</v>
      </c>
      <c r="Z18" s="2"/>
      <c r="AA18" s="6">
        <f>RANK('1bezr.'!C17,'1bezr.'!$C$3:'1bezr.'!$C$28,1)+COUNTIF('1bezr.'!$C$3:'1bezr.'!C17,'1bezr.'!C17)-1</f>
        <v>20</v>
      </c>
      <c r="AB18" s="144" t="str">
        <f>INDEX('1bezr.'!B3:G28,MATCH(11,AA4:AA29,0),1)</f>
        <v>dębicki</v>
      </c>
      <c r="AC18" s="145">
        <f>INDEX('1bezr.'!B3:K28,MATCH(11,AA4:AA29,0),2)</f>
        <v>2297</v>
      </c>
      <c r="AE18" s="6">
        <f>RANK('1bezr.'!C17,'1bezr.'!$C$3:'1bezr.'!$C$28,1)+COUNTIF('1bezr.'!$C$3:'1bezr.'!C17,'1bezr.'!C17)-1</f>
        <v>20</v>
      </c>
      <c r="AF18" s="140" t="str">
        <f>INDEX('1bezr.'!B3:G28,MATCH(15,AE4:AE29,0),1)</f>
        <v>przemyski</v>
      </c>
      <c r="AG18" s="6">
        <f>INDEX('1bezr.'!B3:K28,MATCH(15,AE4:AE29,0),2)</f>
        <v>2793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leżajski</v>
      </c>
      <c r="D19" s="6">
        <f>INDEX('1bezr.'!B3:G28,MATCH(16,B4:B29,0),2)</f>
        <v>2853</v>
      </c>
      <c r="E19" s="42">
        <f>INDEX('1bezr.'!B3:G28,MATCH(16,B4:B29,0),3)</f>
        <v>2812</v>
      </c>
      <c r="F19" s="6">
        <f>INDEX('1bezr.'!B3:G28,MATCH(16,B4:B29,0),4)</f>
        <v>41</v>
      </c>
      <c r="G19" s="42">
        <f>INDEX('1bezr.'!B3:G28,MATCH(16,B4:B29,0),5)</f>
        <v>2897</v>
      </c>
      <c r="H19" s="6">
        <f>INDEX('1bezr.'!B3:G28,MATCH(16,B4:B29,0),6)</f>
        <v>-44</v>
      </c>
      <c r="V19" s="6">
        <f>RANK('1bezr.'!E18,'1bezr.'!$E$3:'1bezr.'!$E$28,1)+COUNTIF('1bezr.'!$E$3:'1bezr.'!E18,'1bezr.'!E18)-1</f>
        <v>9</v>
      </c>
      <c r="W19" s="163" t="str">
        <f>INDEX('1bezr.'!B3:G28,MATCH(16,V4:V29,0),1)</f>
        <v>Przemyśl</v>
      </c>
      <c r="X19" s="164">
        <f>INDEX('1bezr.'!E3:G28,MATCH(16,V4:V29,0),1)</f>
        <v>33</v>
      </c>
      <c r="Y19" s="165">
        <v>11</v>
      </c>
      <c r="Z19" s="2"/>
      <c r="AA19" s="6">
        <f>RANK('1bezr.'!C18,'1bezr.'!$C$3:'1bezr.'!$C$28,1)+COUNTIF('1bezr.'!$C$3:'1bezr.'!C18,'1bezr.'!C18)-1</f>
        <v>13</v>
      </c>
      <c r="AB19" s="144" t="str">
        <f>INDEX('1bezr.'!B3:G28,MATCH(10,AA4:AA29,0),1)</f>
        <v>Przemyśl</v>
      </c>
      <c r="AC19" s="145">
        <f>INDEX('1bezr.'!B3:K28,MATCH(10,AA4:AA29,0),2)</f>
        <v>2282</v>
      </c>
      <c r="AE19" s="6">
        <f>RANK('1bezr.'!C18,'1bezr.'!$C$3:'1bezr.'!$C$28,1)+COUNTIF('1bezr.'!$C$3:'1bezr.'!C18,'1bezr.'!C18)-1</f>
        <v>13</v>
      </c>
      <c r="AF19" s="140" t="str">
        <f>INDEX('1bezr.'!B3:G28,MATCH(16,AE4:AE29,0),1)</f>
        <v>leżajski</v>
      </c>
      <c r="AG19" s="6">
        <f>INDEX('1bezr.'!B3:K28,MATCH(16,AE4:AE29,0),2)</f>
        <v>2853</v>
      </c>
    </row>
    <row r="20" spans="2:33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niżański</v>
      </c>
      <c r="D20" s="6">
        <f>INDEX('1bezr.'!B3:G28,MATCH(17,B4:B29,0),2)</f>
        <v>2858</v>
      </c>
      <c r="E20" s="42">
        <f>INDEX('1bezr.'!B3:G28,MATCH(17,B4:B29,0),3)</f>
        <v>2878</v>
      </c>
      <c r="F20" s="6">
        <f>INDEX('1bezr.'!B3:G28,MATCH(17,B4:B29,0),4)</f>
        <v>-20</v>
      </c>
      <c r="G20" s="42">
        <f>INDEX('1bezr.'!B3:G28,MATCH(17,B4:B29,0),5)</f>
        <v>3011</v>
      </c>
      <c r="H20" s="6">
        <f>INDEX('1bezr.'!B3:G28,MATCH(17,B4:B29,0),6)</f>
        <v>-153</v>
      </c>
      <c r="V20" s="6">
        <f>RANK('1bezr.'!E19,'1bezr.'!$E$3:'1bezr.'!$E$28,1)+COUNTIF('1bezr.'!$E$3:'1bezr.'!E19,'1bezr.'!E19)-1</f>
        <v>5</v>
      </c>
      <c r="W20" s="163" t="str">
        <f>INDEX('1bezr.'!B3:G28,MATCH(17,V4:V29,0),1)</f>
        <v>kolbuszowski</v>
      </c>
      <c r="X20" s="164">
        <f>INDEX('1bezr.'!E3:G28,MATCH(17,V4:V29,0),1)</f>
        <v>39</v>
      </c>
      <c r="Y20" s="165">
        <v>12</v>
      </c>
      <c r="Z20" s="2"/>
      <c r="AA20" s="6">
        <f>RANK('1bezr.'!C19,'1bezr.'!$C$3:'1bezr.'!$C$28,1)+COUNTIF('1bezr.'!$C$3:'1bezr.'!C19,'1bezr.'!C19)-1</f>
        <v>23</v>
      </c>
      <c r="AB20" s="144" t="str">
        <f>INDEX('1bezr.'!B3:G28,MATCH(9,AA4:AA29,0),1)</f>
        <v>krośnieński</v>
      </c>
      <c r="AC20" s="145">
        <f>INDEX('1bezr.'!B3:K28,MATCH(9,AA4:AA29,0),2)</f>
        <v>2154</v>
      </c>
      <c r="AE20" s="6">
        <f>RANK('1bezr.'!C19,'1bezr.'!$C$3:'1bezr.'!$C$28,1)+COUNTIF('1bezr.'!$C$3:'1bezr.'!C19,'1bezr.'!C19)-1</f>
        <v>23</v>
      </c>
      <c r="AF20" s="140" t="str">
        <f>INDEX('1bezr.'!B3:G28,MATCH(17,AE4:AE29,0),1)</f>
        <v>niżański</v>
      </c>
      <c r="AG20" s="6">
        <f>INDEX('1bezr.'!B3:K28,MATCH(17,AE4:AE29,0),2)</f>
        <v>2858</v>
      </c>
    </row>
    <row r="21" spans="2:33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strzyżowski</v>
      </c>
      <c r="D21" s="6">
        <f>INDEX('1bezr.'!B3:G28,MATCH(18,B4:B29,0),2)</f>
        <v>3044</v>
      </c>
      <c r="E21" s="42">
        <f>INDEX('1bezr.'!B3:G28,MATCH(18,B4:B29,0),3)</f>
        <v>3042</v>
      </c>
      <c r="F21" s="6">
        <f>INDEX('1bezr.'!B3:G28,MATCH(18,B4:B29,0),4)</f>
        <v>2</v>
      </c>
      <c r="G21" s="42">
        <f>INDEX('1bezr.'!B3:G28,MATCH(18,B4:B29,0),5)</f>
        <v>3030</v>
      </c>
      <c r="H21" s="6">
        <f>INDEX('1bezr.'!B3:G28,MATCH(18,B4:B29,0),6)</f>
        <v>14</v>
      </c>
      <c r="V21" s="6">
        <f>RANK('1bezr.'!E20,'1bezr.'!$E$3:'1bezr.'!$E$28,1)+COUNTIF('1bezr.'!$E$3:'1bezr.'!E20,'1bezr.'!E20)-1</f>
        <v>3</v>
      </c>
      <c r="W21" s="163" t="str">
        <f>INDEX('1bezr.'!B3:G28,MATCH(18,V4:V29,0),1)</f>
        <v>leżajski</v>
      </c>
      <c r="X21" s="164">
        <f>INDEX('1bezr.'!E3:G28,MATCH(18,V4:V29,0),1)</f>
        <v>41</v>
      </c>
      <c r="Y21" s="165">
        <v>13</v>
      </c>
      <c r="Z21" s="2"/>
      <c r="AA21" s="6">
        <f>RANK('1bezr.'!C20,'1bezr.'!$C$3:'1bezr.'!$C$28,1)+COUNTIF('1bezr.'!$C$3:'1bezr.'!C20,'1bezr.'!C20)-1</f>
        <v>14</v>
      </c>
      <c r="AB21" s="140" t="str">
        <f>INDEX('1bezr.'!B3:G28,MATCH(8,AA4:AA29,0),1)</f>
        <v>stalowowolski</v>
      </c>
      <c r="AC21" s="6">
        <f>INDEX('1bezr.'!B3:K28,MATCH(8,AA4:AA29,0),2)</f>
        <v>1980</v>
      </c>
      <c r="AE21" s="6">
        <f>RANK('1bezr.'!C20,'1bezr.'!$C$3:'1bezr.'!$C$28,1)+COUNTIF('1bezr.'!$C$3:'1bezr.'!C20,'1bezr.'!C20)-1</f>
        <v>14</v>
      </c>
      <c r="AF21" s="140" t="str">
        <f>INDEX('1bezr.'!B3:G28,MATCH(18,AE4:AE29,0),1)</f>
        <v>strzyżowski</v>
      </c>
      <c r="AG21" s="6">
        <f>INDEX('1bezr.'!B3:K28,MATCH(18,AE4:AE29,0),2)</f>
        <v>3044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mielecki</v>
      </c>
      <c r="D22" s="6">
        <f>INDEX('1bezr.'!B3:G28,MATCH(19,B4:B29,0),2)</f>
        <v>3128</v>
      </c>
      <c r="E22" s="42">
        <f>INDEX('1bezr.'!B3:G28,MATCH(19,B4:B29,0),3)</f>
        <v>2993</v>
      </c>
      <c r="F22" s="6">
        <f>INDEX('1bezr.'!B3:G28,MATCH(19,B4:B29,0),4)</f>
        <v>135</v>
      </c>
      <c r="G22" s="42">
        <f>INDEX('1bezr.'!B3:G28,MATCH(19,B4:B29,0),5)</f>
        <v>2918</v>
      </c>
      <c r="H22" s="6">
        <f>INDEX('1bezr.'!B3:G28,MATCH(19,B4:B29,0),6)</f>
        <v>210</v>
      </c>
      <c r="V22" s="6">
        <f>RANK('1bezr.'!E21,'1bezr.'!$E$3:'1bezr.'!$E$28,1)+COUNTIF('1bezr.'!$E$3:'1bezr.'!E21,'1bezr.'!E21)-1</f>
        <v>12</v>
      </c>
      <c r="W22" s="163" t="str">
        <f>INDEX('1bezr.'!B3:G28,MATCH(19,V4:V29,0),1)</f>
        <v>lubaczowski</v>
      </c>
      <c r="X22" s="164">
        <f>INDEX('1bezr.'!E3:G28,MATCH(19,V4:V29,0),1)</f>
        <v>44</v>
      </c>
      <c r="Y22" s="165">
        <v>14</v>
      </c>
      <c r="Z22" s="2"/>
      <c r="AA22" s="6">
        <f>RANK('1bezr.'!C21,'1bezr.'!$C$3:'1bezr.'!$C$28,1)+COUNTIF('1bezr.'!$C$3:'1bezr.'!C21,'1bezr.'!C21)-1</f>
        <v>8</v>
      </c>
      <c r="AB22" s="140" t="str">
        <f>INDEX('1bezr.'!B3:G28,MATCH(7,AA4:AA29,0),1)</f>
        <v>lubaczowski</v>
      </c>
      <c r="AC22" s="6">
        <f>INDEX('1bezr.'!B3:K28,MATCH(7,AA4:AA29,0),2)</f>
        <v>1638</v>
      </c>
      <c r="AE22" s="6">
        <f>RANK('1bezr.'!C21,'1bezr.'!$C$3:'1bezr.'!$C$28,1)+COUNTIF('1bezr.'!$C$3:'1bezr.'!C21,'1bezr.'!C21)-1</f>
        <v>8</v>
      </c>
      <c r="AF22" s="140" t="str">
        <f>INDEX('1bezr.'!B3:G28,MATCH(19,AE4:AE29,0),1)</f>
        <v>mielecki</v>
      </c>
      <c r="AG22" s="6">
        <f>INDEX('1bezr.'!B3:K28,MATCH(19,AE4:AE29,0),2)</f>
        <v>3128</v>
      </c>
    </row>
    <row r="23" spans="2:33" x14ac:dyDescent="0.2">
      <c r="B23" s="6">
        <f>RANK('1bezr.'!C22,'1bezr.'!$C$3:'1bezr.'!$C$28,1)+COUNTIF('1bezr.'!$C$3:'1bezr.'!C22,'1bezr.'!C22)-1</f>
        <v>18</v>
      </c>
      <c r="C23" s="5" t="str">
        <f>INDEX('1bezr.'!B3:G28,MATCH(20,B4:B29,0),1)</f>
        <v>przeworski</v>
      </c>
      <c r="D23" s="6">
        <f>INDEX('1bezr.'!B3:G28,MATCH(20,B4:B29,0),2)</f>
        <v>3286</v>
      </c>
      <c r="E23" s="42">
        <f>INDEX('1bezr.'!B3:G28,MATCH(20,B4:B29,0),3)</f>
        <v>3169</v>
      </c>
      <c r="F23" s="6">
        <f>INDEX('1bezr.'!B3:G28,MATCH(20,B4:B29,0),4)</f>
        <v>117</v>
      </c>
      <c r="G23" s="42">
        <f>INDEX('1bezr.'!B3:G28,MATCH(20,B4:B29,0),5)</f>
        <v>3300</v>
      </c>
      <c r="H23" s="6">
        <f>INDEX('1bezr.'!B3:G28,MATCH(20,B4:B29,0),6)</f>
        <v>-14</v>
      </c>
      <c r="V23" s="6">
        <f>RANK('1bezr.'!E22,'1bezr.'!$E$3:'1bezr.'!$E$28,1)+COUNTIF('1bezr.'!$E$3:'1bezr.'!E22,'1bezr.'!E22)-1</f>
        <v>6</v>
      </c>
      <c r="W23" s="163" t="str">
        <f>INDEX('1bezr.'!B3:G28,MATCH(20,V4:V29,0),1)</f>
        <v>brzozowski</v>
      </c>
      <c r="X23" s="164">
        <f>INDEX('1bezr.'!E3:G28,MATCH(20,V4:V29,0),1)</f>
        <v>51</v>
      </c>
      <c r="Y23" s="165">
        <v>15</v>
      </c>
      <c r="Z23" s="2"/>
      <c r="AA23" s="6">
        <f>RANK('1bezr.'!C22,'1bezr.'!$C$3:'1bezr.'!$C$28,1)+COUNTIF('1bezr.'!$C$3:'1bezr.'!C22,'1bezr.'!C22)-1</f>
        <v>18</v>
      </c>
      <c r="AB23" s="140" t="str">
        <f>INDEX('1bezr.'!B3:G28,MATCH(6,AA4:AA29,0),1)</f>
        <v>kolbuszowski</v>
      </c>
      <c r="AC23" s="6">
        <f>INDEX('1bezr.'!B3:K28,MATCH(6,AA4:AA29,0),2)</f>
        <v>1544</v>
      </c>
      <c r="AE23" s="6">
        <f>RANK('1bezr.'!C22,'1bezr.'!$C$3:'1bezr.'!$C$28,1)+COUNTIF('1bezr.'!$C$3:'1bezr.'!C22,'1bezr.'!C22)-1</f>
        <v>18</v>
      </c>
      <c r="AF23" s="140" t="str">
        <f>INDEX('1bezr.'!B3:G28,MATCH(20,AE4:AE29,0),1)</f>
        <v>przeworski</v>
      </c>
      <c r="AG23" s="6">
        <f>INDEX('1bezr.'!B3:K28,MATCH(20,AE4:AE29,0),2)</f>
        <v>3286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3535</v>
      </c>
      <c r="E24" s="42">
        <f>INDEX('1bezr.'!B3:G28,MATCH(21,B4:B29,0),3)</f>
        <v>3484</v>
      </c>
      <c r="F24" s="6">
        <f>INDEX('1bezr.'!B3:G28,MATCH(21,B4:B29,0),4)</f>
        <v>51</v>
      </c>
      <c r="G24" s="42">
        <f>INDEX('1bezr.'!B3:G28,MATCH(21,B4:B29,0),5)</f>
        <v>3667</v>
      </c>
      <c r="H24" s="6">
        <f>INDEX('1bezr.'!B3:G28,MATCH(21,B4:B29,0),6)</f>
        <v>-132</v>
      </c>
      <c r="V24" s="6">
        <f>RANK('1bezr.'!E23,'1bezr.'!$E$3:'1bezr.'!$E$28,1)+COUNTIF('1bezr.'!$E$3:'1bezr.'!E23,'1bezr.'!E23)-1</f>
        <v>7</v>
      </c>
      <c r="W24" s="163" t="str">
        <f>INDEX('1bezr.'!B3:G28,MATCH(21,V4:V29,0),1)</f>
        <v>Rzeszów</v>
      </c>
      <c r="X24" s="164">
        <f>INDEX('1bezr.'!E3:G28,MATCH(21,V4:V29,0),1)</f>
        <v>51</v>
      </c>
      <c r="Y24" s="165">
        <v>16</v>
      </c>
      <c r="Z24" s="2"/>
      <c r="AA24" s="6">
        <f>RANK('1bezr.'!C23,'1bezr.'!$C$3:'1bezr.'!$C$28,1)+COUNTIF('1bezr.'!$C$3:'1bezr.'!C23,'1bezr.'!C23)-1</f>
        <v>4</v>
      </c>
      <c r="AB24" s="140" t="str">
        <f>INDEX('1bezr.'!B3:G28,MATCH(5,AA4:AA29,0),1)</f>
        <v>leski</v>
      </c>
      <c r="AC24" s="6">
        <f>INDEX('1bezr.'!B3:K28,MATCH(5,AA4:AA29,0),2)</f>
        <v>1512</v>
      </c>
      <c r="AE24" s="6">
        <f>RANK('1bezr.'!C23,'1bezr.'!$C$3:'1bezr.'!$C$28,1)+COUNTIF('1bezr.'!$C$3:'1bezr.'!C23,'1bezr.'!C23)-1</f>
        <v>4</v>
      </c>
      <c r="AF24" s="140" t="str">
        <f>INDEX('1bezr.'!B3:G28,MATCH(21,AE4:AE29,0),1)</f>
        <v>brzozowski</v>
      </c>
      <c r="AG24" s="6">
        <f>INDEX('1bezr.'!B3:K28,MATCH(21,AE4:AE29,0),2)</f>
        <v>3535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4280</v>
      </c>
      <c r="E25" s="42">
        <f>INDEX('1bezr.'!B3:G28,MATCH(22,B4:B29,0),3)</f>
        <v>4290</v>
      </c>
      <c r="F25" s="6">
        <f>INDEX('1bezr.'!B3:G28,MATCH(22,B4:B29,0),4)</f>
        <v>-10</v>
      </c>
      <c r="G25" s="42">
        <f>INDEX('1bezr.'!B3:G28,MATCH(22,B4:B29,0),5)</f>
        <v>4215</v>
      </c>
      <c r="H25" s="6">
        <f>INDEX('1bezr.'!B3:G28,MATCH(22,B4:B29,0),6)</f>
        <v>65</v>
      </c>
      <c r="V25" s="6">
        <f>RANK('1bezr.'!E24,'1bezr.'!$E$3:'1bezr.'!$E$28,1)+COUNTIF('1bezr.'!$E$3:'1bezr.'!E24,'1bezr.'!E24)-1</f>
        <v>13</v>
      </c>
      <c r="W25" s="163" t="str">
        <f>INDEX('1bezr.'!B3:G28,MATCH(22,V4:V29,0),1)</f>
        <v>dębicki</v>
      </c>
      <c r="X25" s="164">
        <f>INDEX('1bezr.'!E3:G28,MATCH(22,V4:V29,0),1)</f>
        <v>76</v>
      </c>
      <c r="Y25" s="165">
        <v>17</v>
      </c>
      <c r="Z25" s="2"/>
      <c r="AA25" s="6">
        <f>RANK('1bezr.'!C24,'1bezr.'!$C$3:'1bezr.'!$C$28,1)+COUNTIF('1bezr.'!$C$3:'1bezr.'!C24,'1bezr.'!C24)-1</f>
        <v>1</v>
      </c>
      <c r="AB25" s="140" t="str">
        <f>INDEX('1bezr.'!B3:G28,MATCH(4,AA4:AA29,0),1)</f>
        <v xml:space="preserve">tarnobrzeski </v>
      </c>
      <c r="AC25" s="6">
        <f>INDEX('1bezr.'!B3:K28,MATCH(4,AA4:AA29,0),2)</f>
        <v>1254</v>
      </c>
      <c r="AE25" s="6">
        <f>RANK('1bezr.'!C24,'1bezr.'!$C$3:'1bezr.'!$C$28,1)+COUNTIF('1bezr.'!$C$3:'1bezr.'!C24,'1bezr.'!C24)-1</f>
        <v>1</v>
      </c>
      <c r="AF25" s="140" t="str">
        <f>INDEX('1bezr.'!B3:G28,MATCH(22,AE4:AE29,0),1)</f>
        <v>jarosławski</v>
      </c>
      <c r="AG25" s="6">
        <f>INDEX('1bezr.'!B3:K28,MATCH(22,AE4:AE29,0),2)</f>
        <v>4280</v>
      </c>
    </row>
    <row r="26" spans="2:33" x14ac:dyDescent="0.2">
      <c r="B26" s="6">
        <f>RANK('1bezr.'!C25,'1bezr.'!$C$3:'1bezr.'!$C$28,1)+COUNTIF('1bezr.'!$C$3:'1bezr.'!C25,'1bezr.'!C25)-1</f>
        <v>10</v>
      </c>
      <c r="C26" s="5" t="str">
        <f>INDEX('1bezr.'!B3:G28,MATCH(23,B4:B29,0),1)</f>
        <v>rzeszowski</v>
      </c>
      <c r="D26" s="6">
        <f>INDEX('1bezr.'!B3:G28,MATCH(23,B4:B29,0),2)</f>
        <v>4455</v>
      </c>
      <c r="E26" s="42">
        <f>INDEX('1bezr.'!B3:G28,MATCH(23,B4:B29,0),3)</f>
        <v>4458</v>
      </c>
      <c r="F26" s="6">
        <f>INDEX('1bezr.'!B3:G28,MATCH(23,B4:B29,0),4)</f>
        <v>-3</v>
      </c>
      <c r="G26" s="42">
        <f>INDEX('1bezr.'!B3:G28,MATCH(23,B4:B29,0),5)</f>
        <v>4625</v>
      </c>
      <c r="H26" s="6">
        <f>INDEX('1bezr.'!B3:G28,MATCH(23,B4:B29,0),6)</f>
        <v>-170</v>
      </c>
      <c r="V26" s="6">
        <f>RANK('1bezr.'!E25,'1bezr.'!$E$3:'1bezr.'!$E$28,1)+COUNTIF('1bezr.'!$E$3:'1bezr.'!E25,'1bezr.'!E25)-1</f>
        <v>16</v>
      </c>
      <c r="W26" s="163" t="str">
        <f>INDEX('1bezr.'!B3:G28,MATCH(23,V4:V29,0),1)</f>
        <v>łańcucki</v>
      </c>
      <c r="X26" s="164">
        <f>INDEX('1bezr.'!E3:G28,MATCH(23,V4:V29,0),1)</f>
        <v>91</v>
      </c>
      <c r="Y26" s="165">
        <v>18</v>
      </c>
      <c r="Z26" s="2"/>
      <c r="AA26" s="6">
        <f>RANK('1bezr.'!C25,'1bezr.'!$C$3:'1bezr.'!$C$28,1)+COUNTIF('1bezr.'!$C$3:'1bezr.'!C25,'1bezr.'!C25)-1</f>
        <v>10</v>
      </c>
      <c r="AB26" s="140" t="str">
        <f>INDEX('1bezr.'!B3:G28,MATCH(3,AA4:AA29,0),1)</f>
        <v>Tarnobrzeg</v>
      </c>
      <c r="AC26" s="6">
        <f>INDEX('1bezr.'!B3:K28,MATCH(3,AA4:AA29,0),2)</f>
        <v>1087</v>
      </c>
      <c r="AE26" s="6">
        <f>RANK('1bezr.'!C25,'1bezr.'!$C$3:'1bezr.'!$C$28,1)+COUNTIF('1bezr.'!$C$3:'1bezr.'!C25,'1bezr.'!C25)-1</f>
        <v>10</v>
      </c>
      <c r="AF26" s="140" t="str">
        <f>INDEX('1bezr.'!B3:G28,MATCH(23,AE4:AE29,0),1)</f>
        <v>rzeszowski</v>
      </c>
      <c r="AG26" s="6">
        <f>INDEX('1bezr.'!B3:K28,MATCH(23,AE4:AE29,0),2)</f>
        <v>4455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4717</v>
      </c>
      <c r="E27" s="42">
        <f>INDEX('1bezr.'!B3:G28,MATCH(24,B4:B29,0),3)</f>
        <v>4706</v>
      </c>
      <c r="F27" s="6">
        <f>INDEX('1bezr.'!B3:G28,MATCH(24,B4:B29,0),4)</f>
        <v>11</v>
      </c>
      <c r="G27" s="42">
        <f>INDEX('1bezr.'!B3:G28,MATCH(24,B4:B29,0),5)</f>
        <v>4772</v>
      </c>
      <c r="H27" s="6">
        <f>INDEX('1bezr.'!B3:G28,MATCH(24,B4:B29,0),6)</f>
        <v>-55</v>
      </c>
      <c r="V27" s="6">
        <f>RANK('1bezr.'!E26,'1bezr.'!$E$3:'1bezr.'!$E$28,1)+COUNTIF('1bezr.'!$E$3:'1bezr.'!E26,'1bezr.'!E26)-1</f>
        <v>21</v>
      </c>
      <c r="W27" s="163" t="str">
        <f>INDEX('1bezr.'!B3:G28,MATCH(24,V4:V29,0),1)</f>
        <v>przeworski</v>
      </c>
      <c r="X27" s="164">
        <f>INDEX('1bezr.'!E3:G28,MATCH(24,V4:V29,0),1)</f>
        <v>117</v>
      </c>
      <c r="Y27" s="165">
        <v>19</v>
      </c>
      <c r="Z27" s="2"/>
      <c r="AA27" s="6">
        <f>RANK('1bezr.'!C26,'1bezr.'!$C$3:'1bezr.'!$C$28,1)+COUNTIF('1bezr.'!$C$3:'1bezr.'!C26,'1bezr.'!C26)-1</f>
        <v>25</v>
      </c>
      <c r="AB27" s="140" t="str">
        <f>INDEX('1bezr.'!B3:G28,MATCH(2,AA4:AA29,0),1)</f>
        <v>bieszczadzki</v>
      </c>
      <c r="AC27" s="6">
        <f>INDEX('1bezr.'!B3:K28,MATCH(2,AA4:AA29,0),2)</f>
        <v>1020</v>
      </c>
      <c r="AE27" s="6">
        <f>RANK('1bezr.'!C26,'1bezr.'!$C$3:'1bezr.'!$C$28,1)+COUNTIF('1bezr.'!$C$3:'1bezr.'!C26,'1bezr.'!C26)-1</f>
        <v>25</v>
      </c>
      <c r="AF27" s="140" t="str">
        <f>INDEX('1bezr.'!B3:G28,MATCH(24,AE4:AE29,0),1)</f>
        <v>jasielski</v>
      </c>
      <c r="AG27" s="6">
        <f>INDEX('1bezr.'!B3:K28,MATCH(24,AE4:AE29,0),2)</f>
        <v>4717</v>
      </c>
    </row>
    <row r="28" spans="2:33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Rzeszów</v>
      </c>
      <c r="D28" s="6">
        <f>INDEX('1bezr.'!B3:G28,MATCH(25,B4:B29,0),2)</f>
        <v>5083</v>
      </c>
      <c r="E28" s="42">
        <f>INDEX('1bezr.'!B3:G28,MATCH(25,B4:B29,0),3)</f>
        <v>5032</v>
      </c>
      <c r="F28" s="6">
        <f>INDEX('1bezr.'!B3:G28,MATCH(25,B4:B29,0),4)</f>
        <v>51</v>
      </c>
      <c r="G28" s="42">
        <f>INDEX('1bezr.'!B3:G28,MATCH(25,B4:B29,0),5)</f>
        <v>5257</v>
      </c>
      <c r="H28" s="6">
        <f>INDEX('1bezr.'!B3:G28,MATCH(25,B4:B29,0),6)</f>
        <v>-174</v>
      </c>
      <c r="V28" s="6">
        <f>RANK('1bezr.'!E27,'1bezr.'!$E$3:'1bezr.'!$E$28,1)+COUNTIF('1bezr.'!$E$3:'1bezr.'!E27,'1bezr.'!E27)-1</f>
        <v>15</v>
      </c>
      <c r="W28" s="163" t="str">
        <f>INDEX('1bezr.'!B3:G28,MATCH(25,V4:V29,0),1)</f>
        <v>mielecki</v>
      </c>
      <c r="X28" s="164">
        <f>INDEX('1bezr.'!E3:G28,MATCH(25,V4:V29,0),1)</f>
        <v>135</v>
      </c>
      <c r="Y28" s="165">
        <v>20</v>
      </c>
      <c r="Z28" s="2"/>
      <c r="AA28" s="6">
        <f>RANK('1bezr.'!C27,'1bezr.'!$C$3:'1bezr.'!$C$28,1)+COUNTIF('1bezr.'!$C$3:'1bezr.'!C27,'1bezr.'!C27)-1</f>
        <v>3</v>
      </c>
      <c r="AB28" s="140" t="str">
        <f>INDEX('1bezr.'!B3:G28,MATCH(1,AA4:AA29,0),1)</f>
        <v>Krosno</v>
      </c>
      <c r="AC28" s="6">
        <f>INDEX('1bezr.'!B3:K28,MATCH(1,AA4:AA29,0),2)</f>
        <v>805</v>
      </c>
      <c r="AE28" s="6">
        <f>RANK('1bezr.'!C27,'1bezr.'!$C$3:'1bezr.'!$C$28,1)+COUNTIF('1bezr.'!$C$3:'1bezr.'!C27,'1bezr.'!C27)-1</f>
        <v>3</v>
      </c>
      <c r="AF28" s="140" t="str">
        <f>INDEX('1bezr.'!B3:G28,MATCH(25,AE4:AE29,0),1)</f>
        <v>Rzeszów</v>
      </c>
      <c r="AG28" s="6">
        <f>INDEX('1bezr.'!B3:K28,MATCH(25,AE4:AE29,0),2)</f>
        <v>5083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65380</v>
      </c>
      <c r="E29" s="44">
        <f>INDEX('1bezr.'!B3:G28,MATCH(26,B4:B29,0),3)</f>
        <v>64586</v>
      </c>
      <c r="F29" s="40">
        <f>INDEX('1bezr.'!B3:G28,MATCH(26,B4:B29,0),4)</f>
        <v>794</v>
      </c>
      <c r="G29" s="44">
        <f>INDEX('1bezr.'!B3:G28,MATCH(26,B4:B29,0),5)</f>
        <v>65861</v>
      </c>
      <c r="H29" s="40">
        <f>INDEX('1bezr.'!B3:G28,MATCH(26,B4:B29,0),6)</f>
        <v>-481</v>
      </c>
      <c r="V29" s="6">
        <f>RANK('1bezr.'!E28,'1bezr.'!$E$3:'1bezr.'!$E$28,1)+COUNTIF('1bezr.'!$E$3:'1bezr.'!E28,'1bezr.'!E28)-1</f>
        <v>26</v>
      </c>
      <c r="W29" s="162" t="str">
        <f>INDEX('1bezr.'!B3:G28,MATCH(26,V4:V29,0),1)</f>
        <v>województwo</v>
      </c>
      <c r="X29" s="6">
        <f>INDEX('1bezr.'!E3:G28,MATCH(26,V4:V29,0),1)</f>
        <v>794</v>
      </c>
      <c r="Y29" s="160"/>
      <c r="Z29" s="2"/>
      <c r="AA29" s="6">
        <f>RANK('1bezr.'!C28,'1bezr.'!$C$3:'1bezr.'!$C$28,1)+COUNTIF('1bezr.'!$C$3:'1bezr.'!C28,'1bezr.'!C28)-1</f>
        <v>26</v>
      </c>
      <c r="AB29" s="141" t="str">
        <f>INDEX('1bezr.'!B3:G28,MATCH(26,AA4:AA29,0),1)</f>
        <v>województwo</v>
      </c>
      <c r="AC29" s="76">
        <f>INDEX('1bezr.'!B3:K28,MATCH(26,AA4:AA29,0),2)</f>
        <v>65380</v>
      </c>
      <c r="AE29" s="6">
        <f>RANK('1bezr.'!C28,'1bezr.'!$C$3:'1bezr.'!$C$28,1)+COUNTIF('1bezr.'!$C$3:'1bezr.'!C28,'1bezr.'!C28)-1</f>
        <v>26</v>
      </c>
      <c r="AF29" s="141" t="str">
        <f>INDEX('1bezr.'!B3:G28,MATCH(26,AE4:AE29,0),1)</f>
        <v>województwo</v>
      </c>
      <c r="AG29" s="76">
        <f>INDEX('1bezr.'!B3:K28,MATCH(26,AE4:AE29,0),2)</f>
        <v>65380</v>
      </c>
    </row>
    <row r="30" spans="2:33" x14ac:dyDescent="0.2">
      <c r="F30" s="19"/>
      <c r="H30" s="19"/>
      <c r="X30" s="49">
        <f>SUM(X4:X28)</f>
        <v>794</v>
      </c>
      <c r="Y30" s="49"/>
      <c r="AC30" s="49">
        <f>SUM(AC4:AC28)</f>
        <v>65380</v>
      </c>
      <c r="AG30" s="49">
        <f>SUM(AG4:AG28)</f>
        <v>65380</v>
      </c>
    </row>
  </sheetData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78</v>
      </c>
      <c r="D2" s="38" t="s">
        <v>73</v>
      </c>
      <c r="E2" s="37" t="s">
        <v>28</v>
      </c>
      <c r="F2" s="38" t="s">
        <v>79</v>
      </c>
      <c r="G2" s="37" t="s">
        <v>26</v>
      </c>
      <c r="I2" s="36" t="s">
        <v>27</v>
      </c>
      <c r="J2" s="37" t="str">
        <f>T('1bezr.'!C2)</f>
        <v>liczba bezrobotnych ogółem stan na 31-08-'24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484</v>
      </c>
      <c r="D3" s="42">
        <v>472</v>
      </c>
      <c r="E3" s="6">
        <f t="shared" ref="E3:E26" si="0">SUM(C3)-D3</f>
        <v>12</v>
      </c>
      <c r="F3" s="42">
        <v>497</v>
      </c>
      <c r="G3" s="6">
        <f t="shared" ref="G3:G26" si="1">SUM(C3)-F3</f>
        <v>-13</v>
      </c>
      <c r="I3" s="5" t="s">
        <v>0</v>
      </c>
      <c r="J3" s="6">
        <f>SUM('1bezr.'!C3)</f>
        <v>1020</v>
      </c>
      <c r="K3" s="6">
        <f>SUM(C3)</f>
        <v>484</v>
      </c>
      <c r="L3" s="23">
        <f t="shared" ref="L3:L28" si="2">SUM(K3)/J3*100</f>
        <v>47.450980392156858</v>
      </c>
    </row>
    <row r="4" spans="2:12" x14ac:dyDescent="0.2">
      <c r="B4" s="5" t="s">
        <v>1</v>
      </c>
      <c r="C4" s="6">
        <v>1846</v>
      </c>
      <c r="D4" s="42">
        <v>1818</v>
      </c>
      <c r="E4" s="6">
        <f t="shared" si="0"/>
        <v>28</v>
      </c>
      <c r="F4" s="42">
        <v>1950</v>
      </c>
      <c r="G4" s="6">
        <f t="shared" si="1"/>
        <v>-104</v>
      </c>
      <c r="I4" s="5" t="s">
        <v>1</v>
      </c>
      <c r="J4" s="6">
        <f>SUM('1bezr.'!C4)</f>
        <v>3535</v>
      </c>
      <c r="K4" s="6">
        <f t="shared" ref="K4:K27" si="3">SUM(C4)</f>
        <v>1846</v>
      </c>
      <c r="L4" s="23">
        <f t="shared" si="2"/>
        <v>52.220650636492216</v>
      </c>
    </row>
    <row r="5" spans="2:12" x14ac:dyDescent="0.2">
      <c r="B5" s="5" t="s">
        <v>2</v>
      </c>
      <c r="C5" s="6">
        <v>1445</v>
      </c>
      <c r="D5" s="42">
        <v>1397</v>
      </c>
      <c r="E5" s="6">
        <f t="shared" si="0"/>
        <v>48</v>
      </c>
      <c r="F5" s="42">
        <v>1496</v>
      </c>
      <c r="G5" s="6">
        <f t="shared" si="1"/>
        <v>-51</v>
      </c>
      <c r="I5" s="5" t="s">
        <v>2</v>
      </c>
      <c r="J5" s="6">
        <f>SUM('1bezr.'!C5)</f>
        <v>2297</v>
      </c>
      <c r="K5" s="6">
        <f t="shared" si="3"/>
        <v>1445</v>
      </c>
      <c r="L5" s="23">
        <f t="shared" si="2"/>
        <v>62.908141053548107</v>
      </c>
    </row>
    <row r="6" spans="2:12" x14ac:dyDescent="0.2">
      <c r="B6" s="5" t="s">
        <v>3</v>
      </c>
      <c r="C6" s="6">
        <v>2232</v>
      </c>
      <c r="D6" s="42">
        <v>2232</v>
      </c>
      <c r="E6" s="6">
        <f t="shared" si="0"/>
        <v>0</v>
      </c>
      <c r="F6" s="42">
        <v>2262</v>
      </c>
      <c r="G6" s="6">
        <f t="shared" si="1"/>
        <v>-30</v>
      </c>
      <c r="I6" s="5" t="s">
        <v>3</v>
      </c>
      <c r="J6" s="6">
        <f>SUM('1bezr.'!C6)</f>
        <v>4280</v>
      </c>
      <c r="K6" s="6">
        <f t="shared" si="3"/>
        <v>2232</v>
      </c>
      <c r="L6" s="23">
        <f t="shared" si="2"/>
        <v>52.149532710280376</v>
      </c>
    </row>
    <row r="7" spans="2:12" x14ac:dyDescent="0.2">
      <c r="B7" s="5" t="s">
        <v>4</v>
      </c>
      <c r="C7" s="6">
        <v>2759</v>
      </c>
      <c r="D7" s="42">
        <v>2742</v>
      </c>
      <c r="E7" s="6">
        <f t="shared" si="0"/>
        <v>17</v>
      </c>
      <c r="F7" s="42">
        <v>2746</v>
      </c>
      <c r="G7" s="6">
        <f t="shared" si="1"/>
        <v>13</v>
      </c>
      <c r="I7" s="5" t="s">
        <v>4</v>
      </c>
      <c r="J7" s="6">
        <f>SUM('1bezr.'!C7)</f>
        <v>4717</v>
      </c>
      <c r="K7" s="6">
        <f t="shared" si="3"/>
        <v>2759</v>
      </c>
      <c r="L7" s="23">
        <f t="shared" si="2"/>
        <v>58.490566037735846</v>
      </c>
    </row>
    <row r="8" spans="2:12" x14ac:dyDescent="0.2">
      <c r="B8" s="5" t="s">
        <v>5</v>
      </c>
      <c r="C8" s="6">
        <v>736</v>
      </c>
      <c r="D8" s="42">
        <v>710</v>
      </c>
      <c r="E8" s="6">
        <f t="shared" si="0"/>
        <v>26</v>
      </c>
      <c r="F8" s="42">
        <v>768</v>
      </c>
      <c r="G8" s="6">
        <f t="shared" si="1"/>
        <v>-32</v>
      </c>
      <c r="I8" s="5" t="s">
        <v>5</v>
      </c>
      <c r="J8" s="6">
        <f>SUM('1bezr.'!C8)</f>
        <v>1544</v>
      </c>
      <c r="K8" s="6">
        <f t="shared" si="3"/>
        <v>736</v>
      </c>
      <c r="L8" s="23">
        <f>SUM(K8)/J8*100</f>
        <v>47.668393782383419</v>
      </c>
    </row>
    <row r="9" spans="2:12" x14ac:dyDescent="0.2">
      <c r="B9" s="9" t="s">
        <v>6</v>
      </c>
      <c r="C9" s="6">
        <v>1186</v>
      </c>
      <c r="D9" s="42">
        <v>1176</v>
      </c>
      <c r="E9" s="6">
        <f t="shared" si="0"/>
        <v>10</v>
      </c>
      <c r="F9" s="42">
        <v>1171</v>
      </c>
      <c r="G9" s="6">
        <f t="shared" si="1"/>
        <v>15</v>
      </c>
      <c r="I9" s="9" t="s">
        <v>6</v>
      </c>
      <c r="J9" s="6">
        <f>SUM('1bezr.'!C9)</f>
        <v>2154</v>
      </c>
      <c r="K9" s="6">
        <f t="shared" si="3"/>
        <v>1186</v>
      </c>
      <c r="L9" s="23">
        <f t="shared" si="2"/>
        <v>55.060352831940577</v>
      </c>
    </row>
    <row r="10" spans="2:12" x14ac:dyDescent="0.2">
      <c r="B10" s="5" t="s">
        <v>7</v>
      </c>
      <c r="C10" s="6">
        <v>695</v>
      </c>
      <c r="D10" s="42">
        <v>675</v>
      </c>
      <c r="E10" s="6">
        <f t="shared" si="0"/>
        <v>20</v>
      </c>
      <c r="F10" s="42">
        <v>714</v>
      </c>
      <c r="G10" s="6">
        <f t="shared" si="1"/>
        <v>-19</v>
      </c>
      <c r="I10" s="5" t="s">
        <v>7</v>
      </c>
      <c r="J10" s="6">
        <f>SUM('1bezr.'!C10)</f>
        <v>1512</v>
      </c>
      <c r="K10" s="6">
        <f t="shared" si="3"/>
        <v>695</v>
      </c>
      <c r="L10" s="23">
        <f t="shared" si="2"/>
        <v>45.965608465608469</v>
      </c>
    </row>
    <row r="11" spans="2:12" x14ac:dyDescent="0.2">
      <c r="B11" s="5" t="s">
        <v>8</v>
      </c>
      <c r="C11" s="6">
        <v>1493</v>
      </c>
      <c r="D11" s="42">
        <v>1471</v>
      </c>
      <c r="E11" s="6">
        <f t="shared" si="0"/>
        <v>22</v>
      </c>
      <c r="F11" s="42">
        <v>1546</v>
      </c>
      <c r="G11" s="6">
        <f t="shared" si="1"/>
        <v>-53</v>
      </c>
      <c r="I11" s="5" t="s">
        <v>8</v>
      </c>
      <c r="J11" s="6">
        <f>SUM('1bezr.'!C11)</f>
        <v>2853</v>
      </c>
      <c r="K11" s="6">
        <f t="shared" si="3"/>
        <v>1493</v>
      </c>
      <c r="L11" s="23">
        <f t="shared" si="2"/>
        <v>52.330879775674731</v>
      </c>
    </row>
    <row r="12" spans="2:12" x14ac:dyDescent="0.2">
      <c r="B12" s="5" t="s">
        <v>9</v>
      </c>
      <c r="C12" s="6">
        <v>774</v>
      </c>
      <c r="D12" s="42">
        <v>753</v>
      </c>
      <c r="E12" s="6">
        <f t="shared" si="0"/>
        <v>21</v>
      </c>
      <c r="F12" s="42">
        <v>806</v>
      </c>
      <c r="G12" s="6">
        <f t="shared" si="1"/>
        <v>-32</v>
      </c>
      <c r="I12" s="5" t="s">
        <v>9</v>
      </c>
      <c r="J12" s="6">
        <f>SUM('1bezr.'!C12)</f>
        <v>1638</v>
      </c>
      <c r="K12" s="6">
        <f t="shared" si="3"/>
        <v>774</v>
      </c>
      <c r="L12" s="23">
        <f t="shared" si="2"/>
        <v>47.252747252747248</v>
      </c>
    </row>
    <row r="13" spans="2:12" x14ac:dyDescent="0.2">
      <c r="B13" s="5" t="s">
        <v>10</v>
      </c>
      <c r="C13" s="6">
        <v>1221</v>
      </c>
      <c r="D13" s="42">
        <v>1166</v>
      </c>
      <c r="E13" s="6">
        <f t="shared" si="0"/>
        <v>55</v>
      </c>
      <c r="F13" s="42">
        <v>1285</v>
      </c>
      <c r="G13" s="6">
        <f t="shared" si="1"/>
        <v>-64</v>
      </c>
      <c r="I13" s="5" t="s">
        <v>10</v>
      </c>
      <c r="J13" s="6">
        <f>SUM('1bezr.'!C13)</f>
        <v>2478</v>
      </c>
      <c r="K13" s="6">
        <f t="shared" si="3"/>
        <v>1221</v>
      </c>
      <c r="L13" s="23">
        <f t="shared" si="2"/>
        <v>49.27360774818402</v>
      </c>
    </row>
    <row r="14" spans="2:12" x14ac:dyDescent="0.2">
      <c r="B14" s="5" t="s">
        <v>11</v>
      </c>
      <c r="C14" s="6">
        <v>1538</v>
      </c>
      <c r="D14" s="42">
        <v>1483</v>
      </c>
      <c r="E14" s="6">
        <f t="shared" si="0"/>
        <v>55</v>
      </c>
      <c r="F14" s="42">
        <v>1490</v>
      </c>
      <c r="G14" s="6">
        <f t="shared" si="1"/>
        <v>48</v>
      </c>
      <c r="I14" s="5" t="s">
        <v>11</v>
      </c>
      <c r="J14" s="6">
        <f>SUM('1bezr.'!C14)</f>
        <v>3128</v>
      </c>
      <c r="K14" s="6">
        <f t="shared" si="3"/>
        <v>1538</v>
      </c>
      <c r="L14" s="23">
        <f t="shared" si="2"/>
        <v>49.168797953964194</v>
      </c>
    </row>
    <row r="15" spans="2:12" x14ac:dyDescent="0.2">
      <c r="B15" s="5" t="s">
        <v>12</v>
      </c>
      <c r="C15" s="6">
        <v>1453</v>
      </c>
      <c r="D15" s="42">
        <v>1460</v>
      </c>
      <c r="E15" s="6">
        <f t="shared" si="0"/>
        <v>-7</v>
      </c>
      <c r="F15" s="42">
        <v>1594</v>
      </c>
      <c r="G15" s="6">
        <f t="shared" si="1"/>
        <v>-141</v>
      </c>
      <c r="I15" s="5" t="s">
        <v>12</v>
      </c>
      <c r="J15" s="6">
        <f>SUM('1bezr.'!C15)</f>
        <v>2858</v>
      </c>
      <c r="K15" s="6">
        <f t="shared" si="3"/>
        <v>1453</v>
      </c>
      <c r="L15" s="23">
        <f t="shared" si="2"/>
        <v>50.839748075577326</v>
      </c>
    </row>
    <row r="16" spans="2:12" x14ac:dyDescent="0.2">
      <c r="B16" s="5" t="s">
        <v>13</v>
      </c>
      <c r="C16" s="6">
        <v>1406</v>
      </c>
      <c r="D16" s="42">
        <v>1391</v>
      </c>
      <c r="E16" s="6">
        <f t="shared" si="0"/>
        <v>15</v>
      </c>
      <c r="F16" s="42">
        <v>1485</v>
      </c>
      <c r="G16" s="6">
        <f t="shared" si="1"/>
        <v>-79</v>
      </c>
      <c r="I16" s="5" t="s">
        <v>13</v>
      </c>
      <c r="J16" s="6">
        <f>SUM('1bezr.'!C16)</f>
        <v>2793</v>
      </c>
      <c r="K16" s="6">
        <f t="shared" si="3"/>
        <v>1406</v>
      </c>
      <c r="L16" s="23">
        <f t="shared" si="2"/>
        <v>50.34013605442177</v>
      </c>
    </row>
    <row r="17" spans="2:12" x14ac:dyDescent="0.2">
      <c r="B17" s="5" t="s">
        <v>14</v>
      </c>
      <c r="C17" s="6">
        <v>1769</v>
      </c>
      <c r="D17" s="42">
        <v>1711</v>
      </c>
      <c r="E17" s="6">
        <f t="shared" si="0"/>
        <v>58</v>
      </c>
      <c r="F17" s="42">
        <v>1834</v>
      </c>
      <c r="G17" s="6">
        <f t="shared" si="1"/>
        <v>-65</v>
      </c>
      <c r="I17" s="5" t="s">
        <v>14</v>
      </c>
      <c r="J17" s="6">
        <f>SUM('1bezr.'!C17)</f>
        <v>3286</v>
      </c>
      <c r="K17" s="6">
        <f t="shared" si="3"/>
        <v>1769</v>
      </c>
      <c r="L17" s="23">
        <f t="shared" si="2"/>
        <v>53.834449178332321</v>
      </c>
    </row>
    <row r="18" spans="2:12" x14ac:dyDescent="0.2">
      <c r="B18" s="5" t="s">
        <v>15</v>
      </c>
      <c r="C18" s="6">
        <v>1417</v>
      </c>
      <c r="D18" s="42">
        <v>1380</v>
      </c>
      <c r="E18" s="6">
        <f t="shared" si="0"/>
        <v>37</v>
      </c>
      <c r="F18" s="42">
        <v>1440</v>
      </c>
      <c r="G18" s="6">
        <f t="shared" si="1"/>
        <v>-23</v>
      </c>
      <c r="I18" s="5" t="s">
        <v>15</v>
      </c>
      <c r="J18" s="6">
        <f>SUM('1bezr.'!C18)</f>
        <v>2583</v>
      </c>
      <c r="K18" s="6">
        <f t="shared" si="3"/>
        <v>1417</v>
      </c>
      <c r="L18" s="23">
        <f t="shared" si="2"/>
        <v>54.858691444057293</v>
      </c>
    </row>
    <row r="19" spans="2:12" x14ac:dyDescent="0.2">
      <c r="B19" s="5" t="s">
        <v>16</v>
      </c>
      <c r="C19" s="6">
        <v>2195</v>
      </c>
      <c r="D19" s="42">
        <v>2195</v>
      </c>
      <c r="E19" s="6">
        <f t="shared" si="0"/>
        <v>0</v>
      </c>
      <c r="F19" s="42">
        <v>2356</v>
      </c>
      <c r="G19" s="6">
        <f t="shared" si="1"/>
        <v>-161</v>
      </c>
      <c r="I19" s="5" t="s">
        <v>16</v>
      </c>
      <c r="J19" s="6">
        <f>SUM('1bezr.'!C19)</f>
        <v>4455</v>
      </c>
      <c r="K19" s="6">
        <f t="shared" si="3"/>
        <v>2195</v>
      </c>
      <c r="L19" s="23">
        <f t="shared" si="2"/>
        <v>49.270482603815935</v>
      </c>
    </row>
    <row r="20" spans="2:12" x14ac:dyDescent="0.2">
      <c r="B20" s="5" t="s">
        <v>17</v>
      </c>
      <c r="C20" s="6">
        <v>1341</v>
      </c>
      <c r="D20" s="42">
        <v>1344</v>
      </c>
      <c r="E20" s="6">
        <f t="shared" si="0"/>
        <v>-3</v>
      </c>
      <c r="F20" s="42">
        <v>1383</v>
      </c>
      <c r="G20" s="6">
        <f t="shared" si="1"/>
        <v>-42</v>
      </c>
      <c r="I20" s="5" t="s">
        <v>17</v>
      </c>
      <c r="J20" s="6">
        <f>SUM('1bezr.'!C20)</f>
        <v>2714</v>
      </c>
      <c r="K20" s="6">
        <f t="shared" si="3"/>
        <v>1341</v>
      </c>
      <c r="L20" s="23">
        <f t="shared" si="2"/>
        <v>49.410464259395724</v>
      </c>
    </row>
    <row r="21" spans="2:12" x14ac:dyDescent="0.2">
      <c r="B21" s="5" t="s">
        <v>18</v>
      </c>
      <c r="C21" s="6">
        <v>1056</v>
      </c>
      <c r="D21" s="42">
        <v>1025</v>
      </c>
      <c r="E21" s="6">
        <f t="shared" si="0"/>
        <v>31</v>
      </c>
      <c r="F21" s="42">
        <v>1064</v>
      </c>
      <c r="G21" s="6">
        <f t="shared" si="1"/>
        <v>-8</v>
      </c>
      <c r="I21" s="5" t="s">
        <v>18</v>
      </c>
      <c r="J21" s="6">
        <f>SUM('1bezr.'!C21)</f>
        <v>1980</v>
      </c>
      <c r="K21" s="6">
        <f t="shared" si="3"/>
        <v>1056</v>
      </c>
      <c r="L21" s="23">
        <f t="shared" si="2"/>
        <v>53.333333333333336</v>
      </c>
    </row>
    <row r="22" spans="2:12" x14ac:dyDescent="0.2">
      <c r="B22" s="5" t="s">
        <v>19</v>
      </c>
      <c r="C22" s="6">
        <v>1603</v>
      </c>
      <c r="D22" s="42">
        <v>1574</v>
      </c>
      <c r="E22" s="6">
        <f t="shared" si="0"/>
        <v>29</v>
      </c>
      <c r="F22" s="42">
        <v>1626</v>
      </c>
      <c r="G22" s="6">
        <f t="shared" si="1"/>
        <v>-23</v>
      </c>
      <c r="I22" s="5" t="s">
        <v>19</v>
      </c>
      <c r="J22" s="6">
        <f>SUM('1bezr.'!C22)</f>
        <v>3044</v>
      </c>
      <c r="K22" s="6">
        <f t="shared" si="3"/>
        <v>1603</v>
      </c>
      <c r="L22" s="23">
        <f t="shared" si="2"/>
        <v>52.660972404730622</v>
      </c>
    </row>
    <row r="23" spans="2:12" x14ac:dyDescent="0.2">
      <c r="B23" s="5" t="s">
        <v>20</v>
      </c>
      <c r="C23" s="6">
        <v>651</v>
      </c>
      <c r="D23" s="42">
        <v>642</v>
      </c>
      <c r="E23" s="6">
        <f t="shared" si="0"/>
        <v>9</v>
      </c>
      <c r="F23" s="42">
        <v>690</v>
      </c>
      <c r="G23" s="6">
        <f t="shared" si="1"/>
        <v>-39</v>
      </c>
      <c r="I23" s="5" t="s">
        <v>20</v>
      </c>
      <c r="J23" s="6">
        <f>SUM('1bezr.'!C23)</f>
        <v>1254</v>
      </c>
      <c r="K23" s="6">
        <f t="shared" si="3"/>
        <v>651</v>
      </c>
      <c r="L23" s="23">
        <f t="shared" si="2"/>
        <v>51.913875598086122</v>
      </c>
    </row>
    <row r="24" spans="2:12" x14ac:dyDescent="0.2">
      <c r="B24" s="5" t="s">
        <v>21</v>
      </c>
      <c r="C24" s="6">
        <v>440</v>
      </c>
      <c r="D24" s="42">
        <v>427</v>
      </c>
      <c r="E24" s="6">
        <f t="shared" si="0"/>
        <v>13</v>
      </c>
      <c r="F24" s="42">
        <v>429</v>
      </c>
      <c r="G24" s="6">
        <f t="shared" si="1"/>
        <v>11</v>
      </c>
      <c r="I24" s="5" t="s">
        <v>21</v>
      </c>
      <c r="J24" s="6">
        <f>SUM('1bezr.'!C24)</f>
        <v>805</v>
      </c>
      <c r="K24" s="6">
        <f t="shared" si="3"/>
        <v>440</v>
      </c>
      <c r="L24" s="23">
        <f t="shared" si="2"/>
        <v>54.658385093167702</v>
      </c>
    </row>
    <row r="25" spans="2:12" x14ac:dyDescent="0.2">
      <c r="B25" s="5" t="s">
        <v>22</v>
      </c>
      <c r="C25" s="6">
        <v>1092</v>
      </c>
      <c r="D25" s="42">
        <v>1081</v>
      </c>
      <c r="E25" s="6">
        <f t="shared" si="0"/>
        <v>11</v>
      </c>
      <c r="F25" s="42">
        <v>1191</v>
      </c>
      <c r="G25" s="6">
        <f t="shared" si="1"/>
        <v>-99</v>
      </c>
      <c r="I25" s="5" t="s">
        <v>22</v>
      </c>
      <c r="J25" s="6">
        <f>SUM('1bezr.'!C25)</f>
        <v>2282</v>
      </c>
      <c r="K25" s="6">
        <f t="shared" si="3"/>
        <v>1092</v>
      </c>
      <c r="L25" s="23">
        <f t="shared" si="2"/>
        <v>47.852760736196323</v>
      </c>
    </row>
    <row r="26" spans="2:12" x14ac:dyDescent="0.2">
      <c r="B26" s="5" t="s">
        <v>23</v>
      </c>
      <c r="C26" s="6">
        <v>2599</v>
      </c>
      <c r="D26" s="42">
        <v>2563</v>
      </c>
      <c r="E26" s="6">
        <f t="shared" si="0"/>
        <v>36</v>
      </c>
      <c r="F26" s="42">
        <v>2747</v>
      </c>
      <c r="G26" s="6">
        <f t="shared" si="1"/>
        <v>-148</v>
      </c>
      <c r="I26" s="5" t="s">
        <v>23</v>
      </c>
      <c r="J26" s="6">
        <f>SUM('1bezr.'!C26)</f>
        <v>5083</v>
      </c>
      <c r="K26" s="6">
        <f t="shared" si="3"/>
        <v>2599</v>
      </c>
      <c r="L26" s="23">
        <f t="shared" si="2"/>
        <v>51.13122171945701</v>
      </c>
    </row>
    <row r="27" spans="2:12" x14ac:dyDescent="0.2">
      <c r="B27" s="5" t="s">
        <v>24</v>
      </c>
      <c r="C27" s="6">
        <v>536</v>
      </c>
      <c r="D27" s="42">
        <v>510</v>
      </c>
      <c r="E27" s="6">
        <f>SUM(C27)-D27</f>
        <v>26</v>
      </c>
      <c r="F27" s="42">
        <v>540</v>
      </c>
      <c r="G27" s="6">
        <f>SUM(C27)-F27</f>
        <v>-4</v>
      </c>
      <c r="I27" s="5" t="s">
        <v>24</v>
      </c>
      <c r="J27" s="6">
        <f>SUM('1bezr.'!C27)</f>
        <v>1087</v>
      </c>
      <c r="K27" s="6">
        <f t="shared" si="3"/>
        <v>536</v>
      </c>
      <c r="L27" s="23">
        <f t="shared" si="2"/>
        <v>49.310027598896042</v>
      </c>
    </row>
    <row r="28" spans="2:12" ht="15" x14ac:dyDescent="0.25">
      <c r="B28" s="39" t="s">
        <v>25</v>
      </c>
      <c r="C28" s="40">
        <f>SUM(C3:C27)</f>
        <v>33967</v>
      </c>
      <c r="D28" s="41">
        <f>SUM(D3:D27)</f>
        <v>33398</v>
      </c>
      <c r="E28" s="40">
        <f>SUM(E3:E27)</f>
        <v>569</v>
      </c>
      <c r="F28" s="41">
        <f>SUM(F3:F27)</f>
        <v>35110</v>
      </c>
      <c r="G28" s="40">
        <f>SUM(G3:G27)</f>
        <v>-1143</v>
      </c>
      <c r="I28" s="39" t="s">
        <v>25</v>
      </c>
      <c r="J28" s="40">
        <f>SUM(J3:J27)</f>
        <v>65380</v>
      </c>
      <c r="K28" s="40">
        <f>SUM(K3:K27)</f>
        <v>33967</v>
      </c>
      <c r="L28" s="45">
        <f t="shared" si="2"/>
        <v>51.953196696237377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31-08-'24 r.</v>
      </c>
      <c r="E3" s="36" t="str">
        <f>T('2kob.'!D2)</f>
        <v>liczba bezrobotnych kobiet stan na 31-07-'24 r.</v>
      </c>
      <c r="F3" s="36" t="str">
        <f>T('2kob.'!E2)</f>
        <v>wzrost/spadek do poprzedniego  miesiąca</v>
      </c>
      <c r="G3" s="36" t="str">
        <f>T('2kob.'!F2)</f>
        <v>liczba bezrobotnych kobiet stan na 31-08-'23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4">
        <f>INDEX('2kob.'!B3:G28,MATCH(1,B4:B29,0),2)</f>
        <v>440</v>
      </c>
      <c r="E4" s="42">
        <f>INDEX('2kob.'!B3:G28,MATCH(1,B4:B29,0),3)</f>
        <v>427</v>
      </c>
      <c r="F4" s="6">
        <f>INDEX('2kob.'!B3:G28,MATCH(1,B4:B29,0),4)</f>
        <v>13</v>
      </c>
      <c r="G4" s="42">
        <f>INDEX('2kob.'!B3:G28,MATCH(1,B4:B29,0),5)</f>
        <v>429</v>
      </c>
      <c r="H4" s="6">
        <f>INDEX('2kob.'!B3:G28,MATCH(1,B4:B29,0),6)</f>
        <v>11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484</v>
      </c>
      <c r="E5" s="42">
        <f>INDEX('2kob.'!B3:G28,MATCH(2,B4:B29,0),3)</f>
        <v>472</v>
      </c>
      <c r="F5" s="6">
        <f>INDEX('2kob.'!B3:G28,MATCH(2,B4:B29,0),4)</f>
        <v>12</v>
      </c>
      <c r="G5" s="42">
        <f>INDEX('2kob.'!B3:G28,MATCH(2,B4:B29,0),5)</f>
        <v>497</v>
      </c>
      <c r="H5" s="6">
        <f>INDEX('2kob.'!B3:G28,MATCH(2,B4:B29,0),6)</f>
        <v>-13</v>
      </c>
    </row>
    <row r="6" spans="2:8" x14ac:dyDescent="0.2">
      <c r="B6" s="6">
        <f>RANK('2kob.'!C5,'2kob.'!$C$3:'2kob.'!$C$28,1)+COUNTIF('2kob.'!$C$3:'2kob.'!C5,'2kob.'!C5)-1</f>
        <v>15</v>
      </c>
      <c r="C6" s="5" t="str">
        <f>INDEX('2kob.'!B3:G28,MATCH(3,B4:B29,0),1)</f>
        <v>Tarnobrzeg</v>
      </c>
      <c r="D6" s="6">
        <f>INDEX('2kob.'!B3:G28,MATCH(3,B4:B29,0),2)</f>
        <v>536</v>
      </c>
      <c r="E6" s="42">
        <f>INDEX('2kob.'!B3:G28,MATCH(3,B4:B29,0),3)</f>
        <v>510</v>
      </c>
      <c r="F6" s="6">
        <f>INDEX('2kob.'!B3:G28,MATCH(3,B4:B29,0),4)</f>
        <v>26</v>
      </c>
      <c r="G6" s="42">
        <f>INDEX('2kob.'!B3:G28,MATCH(3,B4:B29,0),5)</f>
        <v>540</v>
      </c>
      <c r="H6" s="6">
        <f>INDEX('2kob.'!B3:G28,MATCH(3,B4:B29,0),6)</f>
        <v>-4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651</v>
      </c>
      <c r="E7" s="42">
        <f>INDEX('2kob.'!B3:G28,MATCH(4,B4:B29,0),3)</f>
        <v>642</v>
      </c>
      <c r="F7" s="6">
        <f>INDEX('2kob.'!B3:G28,MATCH(4,B4:B29,0),4)</f>
        <v>9</v>
      </c>
      <c r="G7" s="42">
        <f>INDEX('2kob.'!B3:G28,MATCH(4,B4:B29,0),5)</f>
        <v>690</v>
      </c>
      <c r="H7" s="6">
        <f>INDEX('2kob.'!B3:G28,MATCH(4,B4:B29,0),6)</f>
        <v>-39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leski</v>
      </c>
      <c r="D8" s="6">
        <f>INDEX('2kob.'!B3:G28,MATCH(5,B4:B29,0),2)</f>
        <v>695</v>
      </c>
      <c r="E8" s="42">
        <f>INDEX('2kob.'!B3:G28,MATCH(5,B4:B29,0),3)</f>
        <v>675</v>
      </c>
      <c r="F8" s="6">
        <f>INDEX('2kob.'!B3:G28,MATCH(5,B4:B29,0),4)</f>
        <v>20</v>
      </c>
      <c r="G8" s="42">
        <f>INDEX('2kob.'!B3:G28,MATCH(5,B4:B29,0),5)</f>
        <v>714</v>
      </c>
      <c r="H8" s="6">
        <f>INDEX('2kob.'!B3:G28,MATCH(5,B4:B29,0),6)</f>
        <v>-19</v>
      </c>
    </row>
    <row r="9" spans="2:8" x14ac:dyDescent="0.2">
      <c r="B9" s="6">
        <f>RANK('2kob.'!C8,'2kob.'!$C$3:'2kob.'!$C$28,1)+COUNTIF('2kob.'!$C$3:'2kob.'!C8,'2kob.'!C8)-1</f>
        <v>6</v>
      </c>
      <c r="C9" s="5" t="str">
        <f>INDEX('2kob.'!B3:G28,MATCH(6,B4:B29,0),1)</f>
        <v>kolbuszowski</v>
      </c>
      <c r="D9" s="6">
        <f>INDEX('2kob.'!B3:G28,MATCH(6,B4:B29,0),2)</f>
        <v>736</v>
      </c>
      <c r="E9" s="42">
        <f>INDEX('2kob.'!B3:G28,MATCH(6,B4:B29,0),3)</f>
        <v>710</v>
      </c>
      <c r="F9" s="6">
        <f>INDEX('2kob.'!B3:G28,MATCH(6,B4:B29,0),4)</f>
        <v>26</v>
      </c>
      <c r="G9" s="42">
        <f>INDEX('2kob.'!B3:G28,MATCH(6,B4:B29,0),5)</f>
        <v>768</v>
      </c>
      <c r="H9" s="6">
        <f>INDEX('2kob.'!B3:G28,MATCH(6,B4:B29,0),6)</f>
        <v>-32</v>
      </c>
    </row>
    <row r="10" spans="2:8" x14ac:dyDescent="0.2">
      <c r="B10" s="6">
        <f>RANK('2kob.'!C9,'2kob.'!$C$3:'2kob.'!$C$28,1)+COUNTIF('2kob.'!$C$3:'2kob.'!C9,'2kob.'!C9)-1</f>
        <v>10</v>
      </c>
      <c r="C10" s="9" t="str">
        <f>INDEX('2kob.'!B3:G28,MATCH(7,B4:B29,0),1)</f>
        <v>lubaczowski</v>
      </c>
      <c r="D10" s="6">
        <f>INDEX('2kob.'!B3:G28,MATCH(7,B4:B29,0),2)</f>
        <v>774</v>
      </c>
      <c r="E10" s="42">
        <f>INDEX('2kob.'!B3:G28,MATCH(7,B4:B29,0),3)</f>
        <v>753</v>
      </c>
      <c r="F10" s="6">
        <f>INDEX('2kob.'!B3:G28,MATCH(7,B4:B29,0),4)</f>
        <v>21</v>
      </c>
      <c r="G10" s="42">
        <f>INDEX('2kob.'!B3:G28,MATCH(7,B4:B29,0),5)</f>
        <v>806</v>
      </c>
      <c r="H10" s="6">
        <f>INDEX('2kob.'!B3:G28,MATCH(7,B4:B29,0),6)</f>
        <v>-32</v>
      </c>
    </row>
    <row r="11" spans="2:8" x14ac:dyDescent="0.2">
      <c r="B11" s="6">
        <f>RANK('2kob.'!C10,'2kob.'!$C$3:'2kob.'!$C$28,1)+COUNTIF('2kob.'!$C$3:'2kob.'!C10,'2kob.'!C10)-1</f>
        <v>5</v>
      </c>
      <c r="C11" s="5" t="str">
        <f>INDEX('2kob.'!B3:G28,MATCH(8,B4:B29,0),1)</f>
        <v>stalowowolski</v>
      </c>
      <c r="D11" s="6">
        <f>INDEX('2kob.'!B3:G28,MATCH(8,B4:B29,0),2)</f>
        <v>1056</v>
      </c>
      <c r="E11" s="42">
        <f>INDEX('2kob.'!B3:G28,MATCH(8,B4:B29,0),3)</f>
        <v>1025</v>
      </c>
      <c r="F11" s="6">
        <f>INDEX('2kob.'!B3:G28,MATCH(8,B4:B29,0),4)</f>
        <v>31</v>
      </c>
      <c r="G11" s="42">
        <f>INDEX('2kob.'!B3:G28,MATCH(8,B4:B29,0),5)</f>
        <v>1064</v>
      </c>
      <c r="H11" s="6">
        <f>INDEX('2kob.'!B3:G28,MATCH(8,B4:B29,0),6)</f>
        <v>-8</v>
      </c>
    </row>
    <row r="12" spans="2:8" x14ac:dyDescent="0.2">
      <c r="B12" s="6">
        <f>RANK('2kob.'!C11,'2kob.'!$C$3:'2kob.'!$C$28,1)+COUNTIF('2kob.'!$C$3:'2kob.'!C11,'2kob.'!C11)-1</f>
        <v>17</v>
      </c>
      <c r="C12" s="5" t="str">
        <f>INDEX('2kob.'!B3:G28,MATCH(9,B4:B29,0),1)</f>
        <v>Przemyśl</v>
      </c>
      <c r="D12" s="6">
        <f>INDEX('2kob.'!B3:G28,MATCH(9,B4:B29,0),2)</f>
        <v>1092</v>
      </c>
      <c r="E12" s="42">
        <f>INDEX('2kob.'!B3:G28,MATCH(9,B4:B29,0),3)</f>
        <v>1081</v>
      </c>
      <c r="F12" s="6">
        <f>INDEX('2kob.'!B3:G28,MATCH(9,B4:B29,0),4)</f>
        <v>11</v>
      </c>
      <c r="G12" s="42">
        <f>INDEX('2kob.'!B3:G28,MATCH(9,B4:B29,0),5)</f>
        <v>1191</v>
      </c>
      <c r="H12" s="6">
        <f>INDEX('2kob.'!B3:G28,MATCH(9,B4:B29,0),6)</f>
        <v>-99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krośnieński</v>
      </c>
      <c r="D13" s="6">
        <f>INDEX('2kob.'!B3:G28,MATCH(10,B4:B29,0),2)</f>
        <v>1186</v>
      </c>
      <c r="E13" s="42">
        <f>INDEX('2kob.'!B3:G28,MATCH(10,B4:B29,0),3)</f>
        <v>1176</v>
      </c>
      <c r="F13" s="6">
        <f>INDEX('2kob.'!B3:G28,MATCH(10,B4:B29,0),4)</f>
        <v>10</v>
      </c>
      <c r="G13" s="42">
        <f>INDEX('2kob.'!B3:G28,MATCH(10,B4:B29,0),5)</f>
        <v>1171</v>
      </c>
      <c r="H13" s="6">
        <f>INDEX('2kob.'!B3:G28,MATCH(10,B4:B29,0),6)</f>
        <v>15</v>
      </c>
    </row>
    <row r="14" spans="2:8" x14ac:dyDescent="0.2">
      <c r="B14" s="6">
        <f>RANK('2kob.'!C13,'2kob.'!$C$3:'2kob.'!$C$28,1)+COUNTIF('2kob.'!$C$3:'2kob.'!C13,'2kob.'!C13)-1</f>
        <v>11</v>
      </c>
      <c r="C14" s="5" t="str">
        <f>INDEX('2kob.'!B3:G28,MATCH(11,B4:B29,0),1)</f>
        <v>łańcucki</v>
      </c>
      <c r="D14" s="6">
        <f>INDEX('2kob.'!B3:G28,MATCH(11,B4:B29,0),2)</f>
        <v>1221</v>
      </c>
      <c r="E14" s="42">
        <f>INDEX('2kob.'!B3:G28,MATCH(11,B4:B29,0),3)</f>
        <v>1166</v>
      </c>
      <c r="F14" s="6">
        <f>INDEX('2kob.'!B3:G28,MATCH(11,B4:B29,0),4)</f>
        <v>55</v>
      </c>
      <c r="G14" s="42">
        <f>INDEX('2kob.'!B3:G28,MATCH(11,B4:B29,0),5)</f>
        <v>1285</v>
      </c>
      <c r="H14" s="6">
        <f>INDEX('2kob.'!B3:G28,MATCH(11,B4:B29,0),6)</f>
        <v>-64</v>
      </c>
    </row>
    <row r="15" spans="2:8" x14ac:dyDescent="0.2">
      <c r="B15" s="6">
        <f>RANK('2kob.'!C14,'2kob.'!$C$3:'2kob.'!$C$28,1)+COUNTIF('2kob.'!$C$3:'2kob.'!C14,'2kob.'!C14)-1</f>
        <v>18</v>
      </c>
      <c r="C15" s="5" t="str">
        <f>INDEX('2kob.'!B3:G28,MATCH(12,B4:B29,0),1)</f>
        <v>sanocki</v>
      </c>
      <c r="D15" s="6">
        <f>INDEX('2kob.'!B3:G28,MATCH(12,B4:B29,0),2)</f>
        <v>1341</v>
      </c>
      <c r="E15" s="42">
        <f>INDEX('2kob.'!B3:G28,MATCH(12,B4:B29,0),3)</f>
        <v>1344</v>
      </c>
      <c r="F15" s="6">
        <f>INDEX('2kob.'!B3:G28,MATCH(12,B4:B29,0),4)</f>
        <v>-3</v>
      </c>
      <c r="G15" s="42">
        <f>INDEX('2kob.'!B3:G28,MATCH(12,B4:B29,0),5)</f>
        <v>1383</v>
      </c>
      <c r="H15" s="6">
        <f>INDEX('2kob.'!B3:G28,MATCH(12,B4:B29,0),6)</f>
        <v>-42</v>
      </c>
    </row>
    <row r="16" spans="2:8" x14ac:dyDescent="0.2">
      <c r="B16" s="6">
        <f>RANK('2kob.'!C15,'2kob.'!$C$3:'2kob.'!$C$28,1)+COUNTIF('2kob.'!$C$3:'2kob.'!C15,'2kob.'!C15)-1</f>
        <v>16</v>
      </c>
      <c r="C16" s="5" t="str">
        <f>INDEX('2kob.'!B3:G28,MATCH(13,B4:B29,0),1)</f>
        <v>przemyski</v>
      </c>
      <c r="D16" s="6">
        <f>INDEX('2kob.'!B3:G28,MATCH(13,B4:B29,0),2)</f>
        <v>1406</v>
      </c>
      <c r="E16" s="42">
        <f>INDEX('2kob.'!B3:G28,MATCH(13,B4:B29,0),3)</f>
        <v>1391</v>
      </c>
      <c r="F16" s="6">
        <f>INDEX('2kob.'!B3:G28,MATCH(13,B4:B29,0),4)</f>
        <v>15</v>
      </c>
      <c r="G16" s="42">
        <f>INDEX('2kob.'!B3:G28,MATCH(13,B4:B29,0),5)</f>
        <v>1485</v>
      </c>
      <c r="H16" s="6">
        <f>INDEX('2kob.'!B3:G28,MATCH(13,B4:B29,0),6)</f>
        <v>-79</v>
      </c>
    </row>
    <row r="17" spans="2:8" x14ac:dyDescent="0.2">
      <c r="B17" s="6">
        <f>RANK('2kob.'!C16,'2kob.'!$C$3:'2kob.'!$C$28,1)+COUNTIF('2kob.'!$C$3:'2kob.'!C16,'2kob.'!C16)-1</f>
        <v>13</v>
      </c>
      <c r="C17" s="5" t="str">
        <f>INDEX('2kob.'!B3:G28,MATCH(14,B4:B29,0),1)</f>
        <v>ropczycko-sędziszowski</v>
      </c>
      <c r="D17" s="6">
        <f>INDEX('2kob.'!B3:G28,MATCH(14,B4:B29,0),2)</f>
        <v>1417</v>
      </c>
      <c r="E17" s="42">
        <f>INDEX('2kob.'!B3:G28,MATCH(14,B4:B29,0),3)</f>
        <v>1380</v>
      </c>
      <c r="F17" s="6">
        <f>INDEX('2kob.'!B3:G28,MATCH(14,B4:B29,0),4)</f>
        <v>37</v>
      </c>
      <c r="G17" s="42">
        <f>INDEX('2kob.'!B3:G28,MATCH(14,B4:B29,0),5)</f>
        <v>1440</v>
      </c>
      <c r="H17" s="6">
        <f>INDEX('2kob.'!B3:G28,MATCH(14,B4:B29,0),6)</f>
        <v>-23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dębicki</v>
      </c>
      <c r="D18" s="6">
        <f>INDEX('2kob.'!B3:G28,MATCH(15,B4:B29,0),2)</f>
        <v>1445</v>
      </c>
      <c r="E18" s="42">
        <f>INDEX('2kob.'!B3:G28,MATCH(15,B4:B29,0),3)</f>
        <v>1397</v>
      </c>
      <c r="F18" s="6">
        <f>INDEX('2kob.'!B3:G28,MATCH(15,B4:B29,0),4)</f>
        <v>48</v>
      </c>
      <c r="G18" s="42">
        <f>INDEX('2kob.'!B3:G28,MATCH(15,B4:B29,0),5)</f>
        <v>1496</v>
      </c>
      <c r="H18" s="6">
        <f>INDEX('2kob.'!B3:G28,MATCH(15,B4:B29,0),6)</f>
        <v>-51</v>
      </c>
    </row>
    <row r="19" spans="2:8" x14ac:dyDescent="0.2">
      <c r="B19" s="6">
        <f>RANK('2kob.'!C18,'2kob.'!$C$3:'2kob.'!$C$28,1)+COUNTIF('2kob.'!$C$3:'2kob.'!C18,'2kob.'!C18)-1</f>
        <v>14</v>
      </c>
      <c r="C19" s="5" t="str">
        <f>INDEX('2kob.'!B3:G28,MATCH(16,B4:B29,0),1)</f>
        <v>niżański</v>
      </c>
      <c r="D19" s="6">
        <f>INDEX('2kob.'!B3:G28,MATCH(16,B4:B29,0),2)</f>
        <v>1453</v>
      </c>
      <c r="E19" s="42">
        <f>INDEX('2kob.'!B3:G28,MATCH(16,B4:B29,0),3)</f>
        <v>1460</v>
      </c>
      <c r="F19" s="6">
        <f>INDEX('2kob.'!B3:G28,MATCH(16,B4:B29,0),4)</f>
        <v>-7</v>
      </c>
      <c r="G19" s="42">
        <f>INDEX('2kob.'!B3:G28,MATCH(16,B4:B29,0),5)</f>
        <v>1594</v>
      </c>
      <c r="H19" s="6">
        <f>INDEX('2kob.'!B3:G28,MATCH(16,B4:B29,0),6)</f>
        <v>-141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leżajski</v>
      </c>
      <c r="D20" s="6">
        <f>INDEX('2kob.'!B3:G28,MATCH(17,B4:B29,0),2)</f>
        <v>1493</v>
      </c>
      <c r="E20" s="42">
        <f>INDEX('2kob.'!B3:G28,MATCH(17,B4:B29,0),3)</f>
        <v>1471</v>
      </c>
      <c r="F20" s="6">
        <f>INDEX('2kob.'!B3:G28,MATCH(17,B4:B29,0),4)</f>
        <v>22</v>
      </c>
      <c r="G20" s="42">
        <f>INDEX('2kob.'!B3:G28,MATCH(17,B4:B29,0),5)</f>
        <v>1546</v>
      </c>
      <c r="H20" s="6">
        <f>INDEX('2kob.'!B3:G28,MATCH(17,B4:B29,0),6)</f>
        <v>-53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mielecki</v>
      </c>
      <c r="D21" s="6">
        <f>INDEX('2kob.'!B3:G28,MATCH(18,B4:B29,0),2)</f>
        <v>1538</v>
      </c>
      <c r="E21" s="42">
        <f>INDEX('2kob.'!B3:G28,MATCH(18,B4:B29,0),3)</f>
        <v>1483</v>
      </c>
      <c r="F21" s="6">
        <f>INDEX('2kob.'!B3:G28,MATCH(18,B4:B29,0),4)</f>
        <v>55</v>
      </c>
      <c r="G21" s="42">
        <f>INDEX('2kob.'!B3:G28,MATCH(18,B4:B29,0),5)</f>
        <v>1490</v>
      </c>
      <c r="H21" s="6">
        <f>INDEX('2kob.'!B3:G28,MATCH(18,B4:B29,0),6)</f>
        <v>48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strzyżowski</v>
      </c>
      <c r="D22" s="6">
        <f>INDEX('2kob.'!B3:G28,MATCH(19,B4:B29,0),2)</f>
        <v>1603</v>
      </c>
      <c r="E22" s="42">
        <f>INDEX('2kob.'!B3:G28,MATCH(19,B4:B29,0),3)</f>
        <v>1574</v>
      </c>
      <c r="F22" s="6">
        <f>INDEX('2kob.'!B3:G28,MATCH(19,B4:B29,0),4)</f>
        <v>29</v>
      </c>
      <c r="G22" s="42">
        <f>INDEX('2kob.'!B3:G28,MATCH(19,B4:B29,0),5)</f>
        <v>1626</v>
      </c>
      <c r="H22" s="6">
        <f>INDEX('2kob.'!B3:G28,MATCH(19,B4:B29,0),6)</f>
        <v>-23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1769</v>
      </c>
      <c r="E23" s="42">
        <f>INDEX('2kob.'!B3:G28,MATCH(20,B4:B29,0),3)</f>
        <v>1711</v>
      </c>
      <c r="F23" s="6">
        <f>INDEX('2kob.'!B3:G28,MATCH(20,B4:B29,0),4)</f>
        <v>58</v>
      </c>
      <c r="G23" s="42">
        <f>INDEX('2kob.'!B3:G28,MATCH(20,B4:B29,0),5)</f>
        <v>1834</v>
      </c>
      <c r="H23" s="6">
        <f>INDEX('2kob.'!B3:G28,MATCH(20,B4:B29,0),6)</f>
        <v>-65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1846</v>
      </c>
      <c r="E24" s="42">
        <f>INDEX('2kob.'!B3:G28,MATCH(21,B4:B29,0),3)</f>
        <v>1818</v>
      </c>
      <c r="F24" s="6">
        <f>INDEX('2kob.'!B3:G28,MATCH(21,B4:B29,0),4)</f>
        <v>28</v>
      </c>
      <c r="G24" s="42">
        <f>INDEX('2kob.'!B3:G28,MATCH(21,B4:B29,0),5)</f>
        <v>1950</v>
      </c>
      <c r="H24" s="6">
        <f>INDEX('2kob.'!B3:G28,MATCH(21,B4:B29,0),6)</f>
        <v>-104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2195</v>
      </c>
      <c r="E25" s="42">
        <f>INDEX('2kob.'!B3:G28,MATCH(22,B4:B29,0),3)</f>
        <v>2195</v>
      </c>
      <c r="F25" s="6">
        <f>INDEX('2kob.'!B3:G28,MATCH(22,B4:B29,0),4)</f>
        <v>0</v>
      </c>
      <c r="G25" s="42">
        <f>INDEX('2kob.'!B3:G28,MATCH(22,B4:B29,0),5)</f>
        <v>2356</v>
      </c>
      <c r="H25" s="6">
        <f>INDEX('2kob.'!B3:G28,MATCH(22,B4:B29,0),6)</f>
        <v>-161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jarosławski</v>
      </c>
      <c r="D26" s="6">
        <f>INDEX('2kob.'!B3:G28,MATCH(23,B4:B29,0),2)</f>
        <v>2232</v>
      </c>
      <c r="E26" s="42">
        <f>INDEX('2kob.'!B3:G28,MATCH(23,B4:B29,0),3)</f>
        <v>2232</v>
      </c>
      <c r="F26" s="6">
        <f>INDEX('2kob.'!B3:G28,MATCH(23,B4:B29,0),4)</f>
        <v>0</v>
      </c>
      <c r="G26" s="42">
        <f>INDEX('2kob.'!B3:G28,MATCH(23,B4:B29,0),5)</f>
        <v>2262</v>
      </c>
      <c r="H26" s="6">
        <f>INDEX('2kob.'!B3:G28,MATCH(23,B4:B29,0),6)</f>
        <v>-30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2599</v>
      </c>
      <c r="E27" s="42">
        <f>INDEX('2kob.'!B3:G28,MATCH(24,B4:B29,0),3)</f>
        <v>2563</v>
      </c>
      <c r="F27" s="6">
        <f>INDEX('2kob.'!B3:G28,MATCH(24,B4:B29,0),4)</f>
        <v>36</v>
      </c>
      <c r="G27" s="42">
        <f>INDEX('2kob.'!B3:G28,MATCH(24,B4:B29,0),5)</f>
        <v>2747</v>
      </c>
      <c r="H27" s="6">
        <f>INDEX('2kob.'!B3:G28,MATCH(24,B4:B29,0),6)</f>
        <v>-148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2759</v>
      </c>
      <c r="E28" s="42">
        <f>INDEX('2kob.'!B3:G28,MATCH(25,B4:B29,0),3)</f>
        <v>2742</v>
      </c>
      <c r="F28" s="6">
        <f>INDEX('2kob.'!B3:G28,MATCH(25,B4:B29,0),4)</f>
        <v>17</v>
      </c>
      <c r="G28" s="42">
        <f>INDEX('2kob.'!B3:G28,MATCH(25,B4:B29,0),5)</f>
        <v>2746</v>
      </c>
      <c r="H28" s="6">
        <f>INDEX('2kob.'!B3:G28,MATCH(25,B4:B29,0),6)</f>
        <v>13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33967</v>
      </c>
      <c r="E29" s="44">
        <f>INDEX('2kob.'!B3:G28,MATCH(26,B4:B29,0),3)</f>
        <v>33398</v>
      </c>
      <c r="F29" s="40">
        <f>INDEX('2kob.'!B3:G28,MATCH(26,B4:B29,0),4)</f>
        <v>569</v>
      </c>
      <c r="G29" s="44">
        <f>INDEX('2kob.'!B3:G28,MATCH(26,B4:B29,0),5)</f>
        <v>35110</v>
      </c>
      <c r="H29" s="40">
        <f>INDEX('2kob.'!B3:G28,MATCH(26,B4:B29,0),6)</f>
        <v>-1143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82</v>
      </c>
      <c r="D2" s="38" t="s">
        <v>81</v>
      </c>
      <c r="E2" s="37" t="s">
        <v>28</v>
      </c>
      <c r="F2" s="38" t="s">
        <v>80</v>
      </c>
      <c r="G2" s="37" t="s">
        <v>26</v>
      </c>
      <c r="I2" s="36" t="s">
        <v>27</v>
      </c>
      <c r="J2" s="37" t="str">
        <f>T('1bezr.'!C2)</f>
        <v>liczba bezrobotnych ogółem stan na 31-08-'24 r.</v>
      </c>
      <c r="K2" s="37" t="str">
        <f>T(C2)</f>
        <v>liczba bezrobotnych zam. na wsi stan na 31-08-'24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635</v>
      </c>
      <c r="D3" s="42">
        <v>627</v>
      </c>
      <c r="E3" s="6">
        <f t="shared" ref="E3:E23" si="0">SUM(C3)-D3</f>
        <v>8</v>
      </c>
      <c r="F3" s="42">
        <v>605</v>
      </c>
      <c r="G3" s="6">
        <f t="shared" ref="G3:G23" si="1">SUM(C3)-F3</f>
        <v>30</v>
      </c>
      <c r="H3" s="7"/>
      <c r="I3" s="5" t="s">
        <v>0</v>
      </c>
      <c r="J3" s="6">
        <f>SUM('1bezr.'!C3)</f>
        <v>1020</v>
      </c>
      <c r="K3" s="6">
        <f>SUM(C3)</f>
        <v>635</v>
      </c>
      <c r="L3" s="8">
        <f t="shared" ref="L3:L23" si="2">SUM(K3)/J3*100</f>
        <v>62.254901960784316</v>
      </c>
    </row>
    <row r="4" spans="1:12" x14ac:dyDescent="0.2">
      <c r="A4" s="3">
        <v>2</v>
      </c>
      <c r="B4" s="5" t="s">
        <v>1</v>
      </c>
      <c r="C4" s="14">
        <v>3257</v>
      </c>
      <c r="D4" s="42">
        <v>3304</v>
      </c>
      <c r="E4" s="6">
        <f t="shared" si="0"/>
        <v>-47</v>
      </c>
      <c r="F4" s="42">
        <v>3353</v>
      </c>
      <c r="G4" s="6">
        <f t="shared" si="1"/>
        <v>-96</v>
      </c>
      <c r="H4" s="7"/>
      <c r="I4" s="5" t="s">
        <v>1</v>
      </c>
      <c r="J4" s="6">
        <f>SUM('1bezr.'!C4)</f>
        <v>3535</v>
      </c>
      <c r="K4" s="6">
        <f t="shared" ref="K4:K22" si="3">SUM(C4)</f>
        <v>3257</v>
      </c>
      <c r="L4" s="8">
        <f t="shared" si="2"/>
        <v>92.13578500707213</v>
      </c>
    </row>
    <row r="5" spans="1:12" x14ac:dyDescent="0.2">
      <c r="A5" s="3">
        <v>3</v>
      </c>
      <c r="B5" s="5" t="s">
        <v>2</v>
      </c>
      <c r="C5" s="15">
        <v>1375</v>
      </c>
      <c r="D5" s="42">
        <v>1386</v>
      </c>
      <c r="E5" s="6">
        <f t="shared" si="0"/>
        <v>-11</v>
      </c>
      <c r="F5" s="42">
        <v>1412</v>
      </c>
      <c r="G5" s="6">
        <f t="shared" si="1"/>
        <v>-37</v>
      </c>
      <c r="H5" s="7"/>
      <c r="I5" s="5" t="s">
        <v>2</v>
      </c>
      <c r="J5" s="6">
        <f>SUM('1bezr.'!C5)</f>
        <v>2297</v>
      </c>
      <c r="K5" s="6">
        <f t="shared" si="3"/>
        <v>1375</v>
      </c>
      <c r="L5" s="8">
        <f t="shared" si="2"/>
        <v>59.860687853722247</v>
      </c>
    </row>
    <row r="6" spans="1:12" x14ac:dyDescent="0.2">
      <c r="A6" s="3">
        <v>4</v>
      </c>
      <c r="B6" s="5" t="s">
        <v>3</v>
      </c>
      <c r="C6" s="15">
        <v>2640</v>
      </c>
      <c r="D6" s="42">
        <v>2601</v>
      </c>
      <c r="E6" s="6">
        <f t="shared" si="0"/>
        <v>39</v>
      </c>
      <c r="F6" s="42">
        <v>2594</v>
      </c>
      <c r="G6" s="6">
        <f t="shared" si="1"/>
        <v>46</v>
      </c>
      <c r="H6" s="7"/>
      <c r="I6" s="5" t="s">
        <v>3</v>
      </c>
      <c r="J6" s="6">
        <f>SUM('1bezr.'!C6)</f>
        <v>4280</v>
      </c>
      <c r="K6" s="6">
        <f t="shared" si="3"/>
        <v>2640</v>
      </c>
      <c r="L6" s="8">
        <f t="shared" si="2"/>
        <v>61.682242990654203</v>
      </c>
    </row>
    <row r="7" spans="1:12" x14ac:dyDescent="0.2">
      <c r="A7" s="3">
        <v>5</v>
      </c>
      <c r="B7" s="5" t="s">
        <v>4</v>
      </c>
      <c r="C7" s="15">
        <v>3347</v>
      </c>
      <c r="D7" s="42">
        <v>3321</v>
      </c>
      <c r="E7" s="6">
        <f t="shared" si="0"/>
        <v>26</v>
      </c>
      <c r="F7" s="42">
        <v>3364</v>
      </c>
      <c r="G7" s="6">
        <f t="shared" si="1"/>
        <v>-17</v>
      </c>
      <c r="H7" s="7"/>
      <c r="I7" s="5" t="s">
        <v>4</v>
      </c>
      <c r="J7" s="6">
        <f>SUM('1bezr.'!C7)</f>
        <v>4717</v>
      </c>
      <c r="K7" s="6">
        <f t="shared" si="3"/>
        <v>3347</v>
      </c>
      <c r="L7" s="8">
        <f t="shared" si="2"/>
        <v>70.9561161755353</v>
      </c>
    </row>
    <row r="8" spans="1:12" x14ac:dyDescent="0.2">
      <c r="A8" s="3">
        <v>6</v>
      </c>
      <c r="B8" s="5" t="s">
        <v>5</v>
      </c>
      <c r="C8" s="15">
        <v>1352</v>
      </c>
      <c r="D8" s="42">
        <v>1340</v>
      </c>
      <c r="E8" s="6">
        <f t="shared" si="0"/>
        <v>12</v>
      </c>
      <c r="F8" s="42">
        <v>1330</v>
      </c>
      <c r="G8" s="6">
        <f t="shared" si="1"/>
        <v>22</v>
      </c>
      <c r="H8" s="7"/>
      <c r="I8" s="5" t="s">
        <v>5</v>
      </c>
      <c r="J8" s="6">
        <f>SUM('1bezr.'!C8)</f>
        <v>1544</v>
      </c>
      <c r="K8" s="6">
        <f t="shared" si="3"/>
        <v>1352</v>
      </c>
      <c r="L8" s="8">
        <f t="shared" si="2"/>
        <v>87.564766839378237</v>
      </c>
    </row>
    <row r="9" spans="1:12" x14ac:dyDescent="0.2">
      <c r="A9" s="3">
        <v>7</v>
      </c>
      <c r="B9" s="9" t="s">
        <v>6</v>
      </c>
      <c r="C9" s="16">
        <v>1944</v>
      </c>
      <c r="D9" s="42">
        <v>1890</v>
      </c>
      <c r="E9" s="6">
        <f t="shared" si="0"/>
        <v>54</v>
      </c>
      <c r="F9" s="42">
        <v>1900</v>
      </c>
      <c r="G9" s="6">
        <f t="shared" si="1"/>
        <v>44</v>
      </c>
      <c r="H9" s="7"/>
      <c r="I9" s="9" t="s">
        <v>6</v>
      </c>
      <c r="J9" s="6">
        <f>SUM('1bezr.'!C9)</f>
        <v>2154</v>
      </c>
      <c r="K9" s="6">
        <f t="shared" si="3"/>
        <v>1944</v>
      </c>
      <c r="L9" s="8">
        <f t="shared" si="2"/>
        <v>90.250696378830085</v>
      </c>
    </row>
    <row r="10" spans="1:12" x14ac:dyDescent="0.2">
      <c r="A10" s="3">
        <v>8</v>
      </c>
      <c r="B10" s="5" t="s">
        <v>7</v>
      </c>
      <c r="C10" s="17">
        <v>1250</v>
      </c>
      <c r="D10" s="42">
        <v>1228</v>
      </c>
      <c r="E10" s="6">
        <f t="shared" si="0"/>
        <v>22</v>
      </c>
      <c r="F10" s="42">
        <v>1255</v>
      </c>
      <c r="G10" s="6">
        <f>SUM(C10)-F10</f>
        <v>-5</v>
      </c>
      <c r="H10" s="7"/>
      <c r="I10" s="5" t="s">
        <v>7</v>
      </c>
      <c r="J10" s="6">
        <f>SUM('1bezr.'!C10)</f>
        <v>1512</v>
      </c>
      <c r="K10" s="6">
        <f>SUM(C10)</f>
        <v>1250</v>
      </c>
      <c r="L10" s="8">
        <f t="shared" si="2"/>
        <v>82.671957671957671</v>
      </c>
    </row>
    <row r="11" spans="1:12" x14ac:dyDescent="0.2">
      <c r="A11" s="3">
        <v>9</v>
      </c>
      <c r="B11" s="5" t="s">
        <v>8</v>
      </c>
      <c r="C11" s="17">
        <v>2147</v>
      </c>
      <c r="D11" s="42">
        <v>2229</v>
      </c>
      <c r="E11" s="6">
        <f t="shared" si="0"/>
        <v>-82</v>
      </c>
      <c r="F11" s="42">
        <v>2194</v>
      </c>
      <c r="G11" s="6">
        <f t="shared" si="1"/>
        <v>-47</v>
      </c>
      <c r="H11" s="7"/>
      <c r="I11" s="5" t="s">
        <v>8</v>
      </c>
      <c r="J11" s="6">
        <f>SUM('1bezr.'!C11)</f>
        <v>2853</v>
      </c>
      <c r="K11" s="6">
        <f t="shared" si="3"/>
        <v>2147</v>
      </c>
      <c r="L11" s="8">
        <f t="shared" si="2"/>
        <v>75.254118471784082</v>
      </c>
    </row>
    <row r="12" spans="1:12" x14ac:dyDescent="0.2">
      <c r="A12" s="3">
        <v>10</v>
      </c>
      <c r="B12" s="5" t="s">
        <v>9</v>
      </c>
      <c r="C12" s="17">
        <v>1065</v>
      </c>
      <c r="D12" s="42">
        <v>1062</v>
      </c>
      <c r="E12" s="6">
        <f t="shared" si="0"/>
        <v>3</v>
      </c>
      <c r="F12" s="42">
        <v>1120</v>
      </c>
      <c r="G12" s="6">
        <f t="shared" si="1"/>
        <v>-55</v>
      </c>
      <c r="H12" s="7"/>
      <c r="I12" s="5" t="s">
        <v>9</v>
      </c>
      <c r="J12" s="6">
        <f>SUM('1bezr.'!C12)</f>
        <v>1638</v>
      </c>
      <c r="K12" s="6">
        <f t="shared" si="3"/>
        <v>1065</v>
      </c>
      <c r="L12" s="8">
        <f t="shared" si="2"/>
        <v>65.018315018315022</v>
      </c>
    </row>
    <row r="13" spans="1:12" x14ac:dyDescent="0.2">
      <c r="A13" s="3">
        <v>11</v>
      </c>
      <c r="B13" s="5" t="s">
        <v>10</v>
      </c>
      <c r="C13" s="17">
        <v>1920</v>
      </c>
      <c r="D13" s="42">
        <v>1993</v>
      </c>
      <c r="E13" s="6">
        <f t="shared" si="0"/>
        <v>-73</v>
      </c>
      <c r="F13" s="42">
        <v>2000</v>
      </c>
      <c r="G13" s="6">
        <f t="shared" si="1"/>
        <v>-80</v>
      </c>
      <c r="H13" s="7"/>
      <c r="I13" s="5" t="s">
        <v>10</v>
      </c>
      <c r="J13" s="6">
        <f>SUM('1bezr.'!C13)</f>
        <v>2478</v>
      </c>
      <c r="K13" s="6">
        <f t="shared" si="3"/>
        <v>1920</v>
      </c>
      <c r="L13" s="8">
        <f t="shared" si="2"/>
        <v>77.481840193704599</v>
      </c>
    </row>
    <row r="14" spans="1:12" x14ac:dyDescent="0.2">
      <c r="A14" s="3">
        <v>12</v>
      </c>
      <c r="B14" s="5" t="s">
        <v>11</v>
      </c>
      <c r="C14" s="17">
        <v>1562</v>
      </c>
      <c r="D14" s="42">
        <v>1403</v>
      </c>
      <c r="E14" s="6">
        <f t="shared" si="0"/>
        <v>159</v>
      </c>
      <c r="F14" s="42">
        <v>1453</v>
      </c>
      <c r="G14" s="6">
        <f t="shared" si="1"/>
        <v>109</v>
      </c>
      <c r="H14" s="7"/>
      <c r="I14" s="5" t="s">
        <v>11</v>
      </c>
      <c r="J14" s="6">
        <f>SUM('1bezr.'!C14)</f>
        <v>3128</v>
      </c>
      <c r="K14" s="6">
        <f t="shared" si="3"/>
        <v>1562</v>
      </c>
      <c r="L14" s="8">
        <f t="shared" si="2"/>
        <v>49.936061381074168</v>
      </c>
    </row>
    <row r="15" spans="1:12" x14ac:dyDescent="0.2">
      <c r="A15" s="3">
        <v>13</v>
      </c>
      <c r="B15" s="5" t="s">
        <v>12</v>
      </c>
      <c r="C15" s="17">
        <v>1873</v>
      </c>
      <c r="D15" s="42">
        <v>1978</v>
      </c>
      <c r="E15" s="6">
        <f t="shared" si="0"/>
        <v>-105</v>
      </c>
      <c r="F15" s="42">
        <v>1946</v>
      </c>
      <c r="G15" s="6">
        <f t="shared" si="1"/>
        <v>-73</v>
      </c>
      <c r="H15" s="7"/>
      <c r="I15" s="5" t="s">
        <v>12</v>
      </c>
      <c r="J15" s="6">
        <f>SUM('1bezr.'!C15)</f>
        <v>2858</v>
      </c>
      <c r="K15" s="6">
        <f t="shared" si="3"/>
        <v>1873</v>
      </c>
      <c r="L15" s="8">
        <f t="shared" si="2"/>
        <v>65.535339398180554</v>
      </c>
    </row>
    <row r="16" spans="1:12" x14ac:dyDescent="0.2">
      <c r="A16" s="3">
        <v>14</v>
      </c>
      <c r="B16" s="5" t="s">
        <v>13</v>
      </c>
      <c r="C16" s="17">
        <v>2725</v>
      </c>
      <c r="D16" s="42">
        <v>2719</v>
      </c>
      <c r="E16" s="6">
        <f t="shared" si="0"/>
        <v>6</v>
      </c>
      <c r="F16" s="42">
        <v>2735</v>
      </c>
      <c r="G16" s="6">
        <f t="shared" si="1"/>
        <v>-10</v>
      </c>
      <c r="H16" s="7"/>
      <c r="I16" s="5" t="s">
        <v>13</v>
      </c>
      <c r="J16" s="6">
        <f>SUM('1bezr.'!C16)</f>
        <v>2793</v>
      </c>
      <c r="K16" s="6">
        <f t="shared" si="3"/>
        <v>2725</v>
      </c>
      <c r="L16" s="8">
        <f t="shared" si="2"/>
        <v>97.565341926244187</v>
      </c>
    </row>
    <row r="17" spans="1:13" x14ac:dyDescent="0.2">
      <c r="A17" s="3">
        <v>15</v>
      </c>
      <c r="B17" s="5" t="s">
        <v>14</v>
      </c>
      <c r="C17" s="17">
        <v>2471</v>
      </c>
      <c r="D17" s="42">
        <v>2491</v>
      </c>
      <c r="E17" s="6">
        <f t="shared" si="0"/>
        <v>-20</v>
      </c>
      <c r="F17" s="42">
        <v>2509</v>
      </c>
      <c r="G17" s="6">
        <f t="shared" si="1"/>
        <v>-38</v>
      </c>
      <c r="H17" s="7"/>
      <c r="I17" s="5" t="s">
        <v>14</v>
      </c>
      <c r="J17" s="6">
        <f>SUM('1bezr.'!C17)</f>
        <v>3286</v>
      </c>
      <c r="K17" s="6">
        <f t="shared" si="3"/>
        <v>2471</v>
      </c>
      <c r="L17" s="8">
        <f t="shared" si="2"/>
        <v>75.197808886183822</v>
      </c>
      <c r="M17" s="10"/>
    </row>
    <row r="18" spans="1:13" x14ac:dyDescent="0.2">
      <c r="A18" s="3">
        <v>16</v>
      </c>
      <c r="B18" s="5" t="s">
        <v>15</v>
      </c>
      <c r="C18" s="17">
        <v>1680</v>
      </c>
      <c r="D18" s="42">
        <v>1665</v>
      </c>
      <c r="E18" s="6">
        <f t="shared" si="0"/>
        <v>15</v>
      </c>
      <c r="F18" s="42">
        <v>1692</v>
      </c>
      <c r="G18" s="6">
        <f t="shared" si="1"/>
        <v>-12</v>
      </c>
      <c r="H18" s="7"/>
      <c r="I18" s="5" t="s">
        <v>15</v>
      </c>
      <c r="J18" s="6">
        <f>SUM('1bezr.'!C18)</f>
        <v>2583</v>
      </c>
      <c r="K18" s="6">
        <f t="shared" si="3"/>
        <v>1680</v>
      </c>
      <c r="L18" s="8">
        <f t="shared" si="2"/>
        <v>65.040650406504056</v>
      </c>
    </row>
    <row r="19" spans="1:13" x14ac:dyDescent="0.2">
      <c r="A19" s="3">
        <v>17</v>
      </c>
      <c r="B19" s="5" t="s">
        <v>16</v>
      </c>
      <c r="C19" s="17">
        <v>3543</v>
      </c>
      <c r="D19" s="42">
        <v>3639</v>
      </c>
      <c r="E19" s="6">
        <f t="shared" si="0"/>
        <v>-96</v>
      </c>
      <c r="F19" s="42">
        <v>3630</v>
      </c>
      <c r="G19" s="6">
        <f t="shared" si="1"/>
        <v>-87</v>
      </c>
      <c r="H19" s="7"/>
      <c r="I19" s="5" t="s">
        <v>16</v>
      </c>
      <c r="J19" s="6">
        <f>SUM('1bezr.'!C19)</f>
        <v>4455</v>
      </c>
      <c r="K19" s="6">
        <f t="shared" si="3"/>
        <v>3543</v>
      </c>
      <c r="L19" s="8">
        <f t="shared" si="2"/>
        <v>79.528619528619529</v>
      </c>
    </row>
    <row r="20" spans="1:13" x14ac:dyDescent="0.2">
      <c r="A20" s="3">
        <v>18</v>
      </c>
      <c r="B20" s="5" t="s">
        <v>17</v>
      </c>
      <c r="C20" s="17">
        <v>1612</v>
      </c>
      <c r="D20" s="42">
        <v>1524</v>
      </c>
      <c r="E20" s="6">
        <f t="shared" si="0"/>
        <v>88</v>
      </c>
      <c r="F20" s="42">
        <v>1545</v>
      </c>
      <c r="G20" s="6">
        <f t="shared" si="1"/>
        <v>67</v>
      </c>
      <c r="H20" s="7"/>
      <c r="I20" s="5" t="s">
        <v>17</v>
      </c>
      <c r="J20" s="6">
        <f>SUM('1bezr.'!C20)</f>
        <v>2714</v>
      </c>
      <c r="K20" s="6">
        <f t="shared" si="3"/>
        <v>1612</v>
      </c>
      <c r="L20" s="8">
        <f t="shared" si="2"/>
        <v>59.395725865880621</v>
      </c>
    </row>
    <row r="21" spans="1:13" x14ac:dyDescent="0.2">
      <c r="A21" s="3">
        <v>19</v>
      </c>
      <c r="B21" s="5" t="s">
        <v>18</v>
      </c>
      <c r="C21" s="17">
        <v>798</v>
      </c>
      <c r="D21" s="42">
        <v>746</v>
      </c>
      <c r="E21" s="6">
        <f t="shared" si="0"/>
        <v>52</v>
      </c>
      <c r="F21" s="42">
        <v>740</v>
      </c>
      <c r="G21" s="6">
        <f t="shared" si="1"/>
        <v>58</v>
      </c>
      <c r="H21" s="7"/>
      <c r="I21" s="5" t="s">
        <v>18</v>
      </c>
      <c r="J21" s="6">
        <f>SUM('1bezr.'!C21)</f>
        <v>1980</v>
      </c>
      <c r="K21" s="6">
        <f t="shared" si="3"/>
        <v>798</v>
      </c>
      <c r="L21" s="8">
        <f t="shared" si="2"/>
        <v>40.303030303030305</v>
      </c>
    </row>
    <row r="22" spans="1:13" x14ac:dyDescent="0.2">
      <c r="A22" s="3">
        <v>20</v>
      </c>
      <c r="B22" s="5" t="s">
        <v>19</v>
      </c>
      <c r="C22" s="17">
        <v>2735</v>
      </c>
      <c r="D22" s="42">
        <v>2708</v>
      </c>
      <c r="E22" s="6">
        <f t="shared" si="0"/>
        <v>27</v>
      </c>
      <c r="F22" s="42">
        <v>2725</v>
      </c>
      <c r="G22" s="6">
        <f t="shared" si="1"/>
        <v>10</v>
      </c>
      <c r="H22" s="7"/>
      <c r="I22" s="5" t="s">
        <v>19</v>
      </c>
      <c r="J22" s="6">
        <f>SUM('1bezr.'!C22)</f>
        <v>3044</v>
      </c>
      <c r="K22" s="6">
        <f t="shared" si="3"/>
        <v>2735</v>
      </c>
      <c r="L22" s="8">
        <f t="shared" si="2"/>
        <v>89.848883048620237</v>
      </c>
    </row>
    <row r="23" spans="1:13" x14ac:dyDescent="0.2">
      <c r="A23" s="3">
        <v>21</v>
      </c>
      <c r="B23" s="5" t="s">
        <v>20</v>
      </c>
      <c r="C23" s="17">
        <v>1034</v>
      </c>
      <c r="D23" s="42">
        <v>993</v>
      </c>
      <c r="E23" s="6">
        <f t="shared" si="0"/>
        <v>41</v>
      </c>
      <c r="F23" s="42">
        <v>1024</v>
      </c>
      <c r="G23" s="6">
        <f t="shared" si="1"/>
        <v>10</v>
      </c>
      <c r="H23" s="7"/>
      <c r="I23" s="5" t="s">
        <v>20</v>
      </c>
      <c r="J23" s="6">
        <f>SUM('1bezr.'!C23)</f>
        <v>1254</v>
      </c>
      <c r="K23" s="6">
        <f>SUM(C23)</f>
        <v>1034</v>
      </c>
      <c r="L23" s="8">
        <f t="shared" si="2"/>
        <v>82.456140350877192</v>
      </c>
    </row>
    <row r="24" spans="1:13" ht="15" x14ac:dyDescent="0.25">
      <c r="A24" s="3">
        <v>22</v>
      </c>
      <c r="B24" s="39" t="s">
        <v>25</v>
      </c>
      <c r="C24" s="40">
        <f>SUM(C3:C23)</f>
        <v>40965</v>
      </c>
      <c r="D24" s="44">
        <f>SUM(D3:D23)</f>
        <v>40847</v>
      </c>
      <c r="E24" s="40">
        <f>SUM(E3:E23)</f>
        <v>118</v>
      </c>
      <c r="F24" s="44">
        <f>SUM(F3:F23)</f>
        <v>41126</v>
      </c>
      <c r="G24" s="40">
        <f>SUM(G3:G23)</f>
        <v>-161</v>
      </c>
      <c r="H24" s="7"/>
      <c r="I24" s="5" t="s">
        <v>21</v>
      </c>
      <c r="J24" s="6">
        <f>SUM('1bezr.'!C24)</f>
        <v>805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2282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5083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1087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65380</v>
      </c>
      <c r="K28" s="40">
        <f>SUM(K3:K23)</f>
        <v>40965</v>
      </c>
      <c r="L28" s="46">
        <f>SUM(K28)/J28*100</f>
        <v>62.656775772407471</v>
      </c>
    </row>
    <row r="30" spans="1:13" x14ac:dyDescent="0.2">
      <c r="K30" s="19">
        <f>SUM(K28-J28)</f>
        <v>-24415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31-08-'24 r.</v>
      </c>
      <c r="E3" s="36" t="str">
        <f>T('3bezr. na wsi'!D2)</f>
        <v>liczba bezrobotnych zam. na wsi stan na 31-07-'24 r.</v>
      </c>
      <c r="F3" s="36" t="str">
        <f>T('3bezr. na wsi'!E2)</f>
        <v>wzrost/spadek do poprzedniego  miesiąca</v>
      </c>
      <c r="G3" s="36" t="str">
        <f>T('3bezr. na wsi'!F2)</f>
        <v>liczba bezrobotnych zam. na wsi stan na 31-08-'23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635</v>
      </c>
      <c r="E4" s="42">
        <f>INDEX('3bezr. na wsi'!B3:G28,MATCH(1,B4:B25,0),3)</f>
        <v>627</v>
      </c>
      <c r="F4" s="6">
        <f>INDEX('3bezr. na wsi'!B3:G28,MATCH(1,B4:B25,0),4)</f>
        <v>8</v>
      </c>
      <c r="G4" s="42">
        <f>INDEX('3bezr. na wsi'!B3:G28,MATCH(1,B4:B25,0),5)</f>
        <v>605</v>
      </c>
      <c r="H4" s="6">
        <f>INDEX('3bezr. na wsi'!B3:G28,MATCH(1,B4:B25,0),6)</f>
        <v>30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798</v>
      </c>
      <c r="E5" s="42">
        <f>INDEX('3bezr. na wsi'!B3:G28,MATCH(2,B4:B25,0),3)</f>
        <v>746</v>
      </c>
      <c r="F5" s="6">
        <f>INDEX('3bezr. na wsi'!B3:G28,MATCH(2,B4:B25,0),4)</f>
        <v>52</v>
      </c>
      <c r="G5" s="42">
        <f>INDEX('3bezr. na wsi'!B3:G28,MATCH(2,B4:B25,0),5)</f>
        <v>740</v>
      </c>
      <c r="H5" s="6">
        <f>INDEX('3bezr. na wsi'!B3:G28,MATCH(2,B4:B25,0),6)</f>
        <v>58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 xml:space="preserve">tarnobrzeski </v>
      </c>
      <c r="D6" s="6">
        <f>INDEX('3bezr. na wsi'!B3:G28,MATCH(3,B4:B25,0),2)</f>
        <v>1034</v>
      </c>
      <c r="E6" s="42">
        <f>INDEX('3bezr. na wsi'!B3:G28,MATCH(3,B4:B25,0),3)</f>
        <v>993</v>
      </c>
      <c r="F6" s="6">
        <f>INDEX('3bezr. na wsi'!B3:G28,MATCH(3,B4:B25,0),4)</f>
        <v>41</v>
      </c>
      <c r="G6" s="42">
        <f>INDEX('3bezr. na wsi'!B3:G28,MATCH(3,B4:B25,0),5)</f>
        <v>1024</v>
      </c>
      <c r="H6" s="6">
        <f>INDEX('3bezr. na wsi'!B3:G28,MATCH(3,B4:B25,0),6)</f>
        <v>10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16</v>
      </c>
      <c r="C7" s="5" t="str">
        <f>INDEX('3bezr. na wsi'!B3:G28,MATCH(4,B4:B25,0),1)</f>
        <v>lubaczowski</v>
      </c>
      <c r="D7" s="6">
        <f>INDEX('3bezr. na wsi'!B3:G28,MATCH(4,B4:B25,0),2)</f>
        <v>1065</v>
      </c>
      <c r="E7" s="42">
        <f>INDEX('3bezr. na wsi'!B3:G28,MATCH(4,B4:B25,0),3)</f>
        <v>1062</v>
      </c>
      <c r="F7" s="6">
        <f>INDEX('3bezr. na wsi'!B3:G28,MATCH(4,B4:B25,0),4)</f>
        <v>3</v>
      </c>
      <c r="G7" s="42">
        <f>INDEX('3bezr. na wsi'!B3:G28,MATCH(4,B4:B25,0),5)</f>
        <v>1120</v>
      </c>
      <c r="H7" s="6">
        <f>INDEX('3bezr. na wsi'!B3:G28,MATCH(4,B4:B25,0),6)</f>
        <v>-55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leski</v>
      </c>
      <c r="D8" s="6">
        <f>INDEX('3bezr. na wsi'!B3:G28,MATCH(5,B4:B25,0),2)</f>
        <v>1250</v>
      </c>
      <c r="E8" s="42">
        <f>INDEX('3bezr. na wsi'!B3:G28,MATCH(5,B4:B25,0),3)</f>
        <v>1228</v>
      </c>
      <c r="F8" s="6">
        <f>INDEX('3bezr. na wsi'!B3:G28,MATCH(5,B4:B25,0),4)</f>
        <v>22</v>
      </c>
      <c r="G8" s="42">
        <f>INDEX('3bezr. na wsi'!B3:G28,MATCH(5,B4:B25,0),5)</f>
        <v>1255</v>
      </c>
      <c r="H8" s="6">
        <f>INDEX('3bezr. na wsi'!B3:G28,MATCH(5,B4:B25,0),6)</f>
        <v>-5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6</v>
      </c>
      <c r="C9" s="5" t="str">
        <f>INDEX('3bezr. na wsi'!B3:G28,MATCH(6,B4:B25,0),1)</f>
        <v>kolbuszowski</v>
      </c>
      <c r="D9" s="6">
        <f>INDEX('3bezr. na wsi'!B3:G28,MATCH(6,B4:B25,0),2)</f>
        <v>1352</v>
      </c>
      <c r="E9" s="42">
        <f>INDEX('3bezr. na wsi'!B3:G28,MATCH(6,B4:B25,0),3)</f>
        <v>1340</v>
      </c>
      <c r="F9" s="6">
        <f>INDEX('3bezr. na wsi'!B3:G28,MATCH(6,B4:B25,0),4)</f>
        <v>12</v>
      </c>
      <c r="G9" s="42">
        <f>INDEX('3bezr. na wsi'!B3:G28,MATCH(6,B4:B25,0),5)</f>
        <v>1330</v>
      </c>
      <c r="H9" s="6">
        <f>INDEX('3bezr. na wsi'!B3:G28,MATCH(6,B4:B25,0),6)</f>
        <v>22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dębicki</v>
      </c>
      <c r="D10" s="6">
        <f>INDEX('3bezr. na wsi'!B3:G28,MATCH(7,B4:B25,0),2)</f>
        <v>1375</v>
      </c>
      <c r="E10" s="42">
        <f>INDEX('3bezr. na wsi'!B3:G28,MATCH(7,B4:B25,0),3)</f>
        <v>1386</v>
      </c>
      <c r="F10" s="6">
        <f>INDEX('3bezr. na wsi'!B3:G28,MATCH(7,B4:B25,0),4)</f>
        <v>-11</v>
      </c>
      <c r="G10" s="42">
        <f>INDEX('3bezr. na wsi'!B3:G28,MATCH(7,B4:B25,0),5)</f>
        <v>1412</v>
      </c>
      <c r="H10" s="6">
        <f>INDEX('3bezr. na wsi'!B3:G28,MATCH(7,B4:B25,0),6)</f>
        <v>-37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5</v>
      </c>
      <c r="C11" s="5" t="str">
        <f>INDEX('3bezr. na wsi'!B3:G28,MATCH(8,B4:B25,0),1)</f>
        <v>mielecki</v>
      </c>
      <c r="D11" s="6">
        <f>INDEX('3bezr. na wsi'!B3:G28,MATCH(8,B4:B25,0),2)</f>
        <v>1562</v>
      </c>
      <c r="E11" s="42">
        <f>INDEX('3bezr. na wsi'!B3:G28,MATCH(8,B4:B25,0),3)</f>
        <v>1403</v>
      </c>
      <c r="F11" s="6">
        <f>INDEX('3bezr. na wsi'!B3:G28,MATCH(8,B4:B25,0),4)</f>
        <v>159</v>
      </c>
      <c r="G11" s="42">
        <f>INDEX('3bezr. na wsi'!B3:G28,MATCH(8,B4:B25,0),5)</f>
        <v>1453</v>
      </c>
      <c r="H11" s="6">
        <f>INDEX('3bezr. na wsi'!B3:G28,MATCH(8,B4:B25,0),6)</f>
        <v>109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1612</v>
      </c>
      <c r="E12" s="42">
        <f>INDEX('3bezr. na wsi'!B3:G28,MATCH(9,B4:B25,0),3)</f>
        <v>1524</v>
      </c>
      <c r="F12" s="6">
        <f>INDEX('3bezr. na wsi'!B3:G28,MATCH(9,B4:B25,0),4)</f>
        <v>88</v>
      </c>
      <c r="G12" s="42">
        <f>INDEX('3bezr. na wsi'!B3:G28,MATCH(9,B4:B25,0),5)</f>
        <v>1545</v>
      </c>
      <c r="H12" s="6">
        <f>INDEX('3bezr. na wsi'!B3:G28,MATCH(9,B4:B25,0),6)</f>
        <v>67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ropczycko-sędziszowski</v>
      </c>
      <c r="D13" s="6">
        <f>INDEX('3bezr. na wsi'!B3:G28,MATCH(10,B4:B25,0),2)</f>
        <v>1680</v>
      </c>
      <c r="E13" s="42">
        <f>INDEX('3bezr. na wsi'!B3:G28,MATCH(10,B4:B25,0),3)</f>
        <v>1665</v>
      </c>
      <c r="F13" s="6">
        <f>INDEX('3bezr. na wsi'!B3:G28,MATCH(10,B4:B25,0),4)</f>
        <v>15</v>
      </c>
      <c r="G13" s="42">
        <f>INDEX('3bezr. na wsi'!B3:G28,MATCH(10,B4:B25,0),5)</f>
        <v>1692</v>
      </c>
      <c r="H13" s="6">
        <f>INDEX('3bezr. na wsi'!B3:G28,MATCH(10,B4:B25,0),6)</f>
        <v>-12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12</v>
      </c>
      <c r="C14" s="5" t="str">
        <f>INDEX('3bezr. na wsi'!B3:G28,MATCH(11,B4:B25,0),1)</f>
        <v>niżański</v>
      </c>
      <c r="D14" s="6">
        <f>INDEX('3bezr. na wsi'!B3:G28,MATCH(11,B4:B25,0),2)</f>
        <v>1873</v>
      </c>
      <c r="E14" s="42">
        <f>INDEX('3bezr. na wsi'!B3:G28,MATCH(11,B4:B25,0),3)</f>
        <v>1978</v>
      </c>
      <c r="F14" s="6">
        <f>INDEX('3bezr. na wsi'!B3:G28,MATCH(11,B4:B25,0),4)</f>
        <v>-105</v>
      </c>
      <c r="G14" s="42">
        <f>INDEX('3bezr. na wsi'!B3:G28,MATCH(11,B4:B25,0),5)</f>
        <v>1946</v>
      </c>
      <c r="H14" s="6">
        <f>INDEX('3bezr. na wsi'!B3:G28,MATCH(11,B4:B25,0),6)</f>
        <v>-73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łańcucki</v>
      </c>
      <c r="D15" s="6">
        <f>INDEX('3bezr. na wsi'!B3:G28,MATCH(12,B4:B25,0),2)</f>
        <v>1920</v>
      </c>
      <c r="E15" s="42">
        <f>INDEX('3bezr. na wsi'!B3:G28,MATCH(12,B4:B25,0),3)</f>
        <v>1993</v>
      </c>
      <c r="F15" s="6">
        <f>INDEX('3bezr. na wsi'!B3:G28,MATCH(12,B4:B25,0),4)</f>
        <v>-73</v>
      </c>
      <c r="G15" s="42">
        <f>INDEX('3bezr. na wsi'!B3:G28,MATCH(12,B4:B25,0),5)</f>
        <v>2000</v>
      </c>
      <c r="H15" s="6">
        <f>INDEX('3bezr. na wsi'!B3:G28,MATCH(12,B4:B25,0),6)</f>
        <v>-80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11</v>
      </c>
      <c r="C16" s="5" t="str">
        <f>INDEX('3bezr. na wsi'!B3:G28,MATCH(13,B4:B25,0),1)</f>
        <v>krośnieński</v>
      </c>
      <c r="D16" s="6">
        <f>INDEX('3bezr. na wsi'!B3:G28,MATCH(13,B4:B25,0),2)</f>
        <v>1944</v>
      </c>
      <c r="E16" s="42">
        <f>INDEX('3bezr. na wsi'!B3:G28,MATCH(13,B4:B25,0),3)</f>
        <v>1890</v>
      </c>
      <c r="F16" s="6">
        <f>INDEX('3bezr. na wsi'!B3:G28,MATCH(13,B4:B25,0),4)</f>
        <v>54</v>
      </c>
      <c r="G16" s="42">
        <f>INDEX('3bezr. na wsi'!B3:G28,MATCH(13,B4:B25,0),5)</f>
        <v>1900</v>
      </c>
      <c r="H16" s="6">
        <f>INDEX('3bezr. na wsi'!B3:G28,MATCH(13,B4:B25,0),6)</f>
        <v>44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17</v>
      </c>
      <c r="C17" s="5" t="str">
        <f>INDEX('3bezr. na wsi'!B3:G28,MATCH(14,B4:B25,0),1)</f>
        <v>leżajski</v>
      </c>
      <c r="D17" s="6">
        <f>INDEX('3bezr. na wsi'!B3:G28,MATCH(14,B4:B25,0),2)</f>
        <v>2147</v>
      </c>
      <c r="E17" s="42">
        <f>INDEX('3bezr. na wsi'!B3:G28,MATCH(14,B4:B25,0),3)</f>
        <v>2229</v>
      </c>
      <c r="F17" s="6">
        <f>INDEX('3bezr. na wsi'!B3:G28,MATCH(14,B4:B25,0),4)</f>
        <v>-82</v>
      </c>
      <c r="G17" s="42">
        <f>INDEX('3bezr. na wsi'!B3:G28,MATCH(14,B4:B25,0),5)</f>
        <v>2194</v>
      </c>
      <c r="H17" s="6">
        <f>INDEX('3bezr. na wsi'!B3:G28,MATCH(14,B4:B25,0),6)</f>
        <v>-47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2471</v>
      </c>
      <c r="E18" s="42">
        <f>INDEX('3bezr. na wsi'!B3:G28,MATCH(15,B4:B25,0),3)</f>
        <v>2491</v>
      </c>
      <c r="F18" s="6">
        <f>INDEX('3bezr. na wsi'!B3:G28,MATCH(15,B4:B25,0),4)</f>
        <v>-20</v>
      </c>
      <c r="G18" s="42">
        <f>INDEX('3bezr. na wsi'!B3:G28,MATCH(15,B4:B25,0),5)</f>
        <v>2509</v>
      </c>
      <c r="H18" s="6">
        <f>INDEX('3bezr. na wsi'!B3:G28,MATCH(15,B4:B25,0),6)</f>
        <v>-38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jarosławski</v>
      </c>
      <c r="D19" s="6">
        <f>INDEX('3bezr. na wsi'!B3:G28,MATCH(16,B4:B25,0),2)</f>
        <v>2640</v>
      </c>
      <c r="E19" s="42">
        <f>INDEX('3bezr. na wsi'!B3:G28,MATCH(16,B4:B25,0),3)</f>
        <v>2601</v>
      </c>
      <c r="F19" s="6">
        <f>INDEX('3bezr. na wsi'!B3:G28,MATCH(16,B4:B25,0),4)</f>
        <v>39</v>
      </c>
      <c r="G19" s="42">
        <f>INDEX('3bezr. na wsi'!B3:G28,MATCH(16,B4:B25,0),5)</f>
        <v>2594</v>
      </c>
      <c r="H19" s="6">
        <f>INDEX('3bezr. na wsi'!B3:G28,MATCH(16,B4:B25,0),6)</f>
        <v>46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przemyski</v>
      </c>
      <c r="D20" s="6">
        <f>INDEX('3bezr. na wsi'!B3:G28,MATCH(17,B4:B25,0),2)</f>
        <v>2725</v>
      </c>
      <c r="E20" s="42">
        <f>INDEX('3bezr. na wsi'!B3:G28,MATCH(17,B4:B25,0),3)</f>
        <v>2719</v>
      </c>
      <c r="F20" s="6">
        <f>INDEX('3bezr. na wsi'!B3:G28,MATCH(17,B4:B25,0),4)</f>
        <v>6</v>
      </c>
      <c r="G20" s="42">
        <f>INDEX('3bezr. na wsi'!B3:G28,MATCH(17,B4:B25,0),5)</f>
        <v>2735</v>
      </c>
      <c r="H20" s="6">
        <f>INDEX('3bezr. na wsi'!B3:G28,MATCH(17,B4:B25,0),6)</f>
        <v>-10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strzyżowski</v>
      </c>
      <c r="D21" s="6">
        <f>INDEX('3bezr. na wsi'!B3:G28,MATCH(18,B4:B25,0),2)</f>
        <v>2735</v>
      </c>
      <c r="E21" s="42">
        <f>INDEX('3bezr. na wsi'!B3:G28,MATCH(18,B4:B25,0),3)</f>
        <v>2708</v>
      </c>
      <c r="F21" s="6">
        <f>INDEX('3bezr. na wsi'!B3:G28,MATCH(18,B4:B25,0),4)</f>
        <v>27</v>
      </c>
      <c r="G21" s="42">
        <f>INDEX('3bezr. na wsi'!B3:G28,MATCH(18,B4:B25,0),5)</f>
        <v>2725</v>
      </c>
      <c r="H21" s="6">
        <f>INDEX('3bezr. na wsi'!B3:G28,MATCH(18,B4:B25,0),6)</f>
        <v>10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3257</v>
      </c>
      <c r="E22" s="42">
        <f>INDEX('3bezr. na wsi'!B3:G28,MATCH(19,B4:B25,0),3)</f>
        <v>3304</v>
      </c>
      <c r="F22" s="6">
        <f>INDEX('3bezr. na wsi'!B3:G28,MATCH(19,B4:B25,0),4)</f>
        <v>-47</v>
      </c>
      <c r="G22" s="42">
        <f>INDEX('3bezr. na wsi'!B3:G28,MATCH(19,B4:B25,0),5)</f>
        <v>3353</v>
      </c>
      <c r="H22" s="6">
        <f>INDEX('3bezr. na wsi'!B3:G28,MATCH(19,B4:B25,0),6)</f>
        <v>-96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18</v>
      </c>
      <c r="C23" s="5" t="str">
        <f>INDEX('3bezr. na wsi'!B3:G28,MATCH(20,B4:B25,0),1)</f>
        <v>jasielski</v>
      </c>
      <c r="D23" s="6">
        <f>INDEX('3bezr. na wsi'!B3:G28,MATCH(20,B4:B25,0),2)</f>
        <v>3347</v>
      </c>
      <c r="E23" s="42">
        <f>INDEX('3bezr. na wsi'!B3:G28,MATCH(20,B4:B25,0),3)</f>
        <v>3321</v>
      </c>
      <c r="F23" s="6">
        <f>INDEX('3bezr. na wsi'!B3:G28,MATCH(20,B4:B25,0),4)</f>
        <v>26</v>
      </c>
      <c r="G23" s="42">
        <f>INDEX('3bezr. na wsi'!B3:G28,MATCH(20,B4:B25,0),5)</f>
        <v>3364</v>
      </c>
      <c r="H23" s="6">
        <f>INDEX('3bezr. na wsi'!B3:G28,MATCH(20,B4:B25,0),6)</f>
        <v>-17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3543</v>
      </c>
      <c r="E24" s="42">
        <f>INDEX('3bezr. na wsi'!B3:G28,MATCH(21,B4:B25,0),3)</f>
        <v>3639</v>
      </c>
      <c r="F24" s="6">
        <f>INDEX('3bezr. na wsi'!B3:G28,MATCH(21,B4:B25,0),4)</f>
        <v>-96</v>
      </c>
      <c r="G24" s="42">
        <f>INDEX('3bezr. na wsi'!B3:G28,MATCH(21,B4:B25,0),5)</f>
        <v>3630</v>
      </c>
      <c r="H24" s="6">
        <f>INDEX('3bezr. na wsi'!B3:G28,MATCH(21,B4:B25,0),6)</f>
        <v>-87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40965</v>
      </c>
      <c r="E25" s="44">
        <f>INDEX('3bezr. na wsi'!B3:G28,MATCH(22,B4:B25,0),3)</f>
        <v>40847</v>
      </c>
      <c r="F25" s="40">
        <f>INDEX('3bezr. na wsi'!B3:G28,MATCH(22,B4:B25,0),4)</f>
        <v>118</v>
      </c>
      <c r="G25" s="44">
        <f>INDEX('3bezr. na wsi'!B3:G28,MATCH(22,B4:B25,0),5)</f>
        <v>41126</v>
      </c>
      <c r="H25" s="40">
        <f>INDEX('3bezr. na wsi'!B3:G28,MATCH(22,B4:B25,0),6)</f>
        <v>-161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85</v>
      </c>
      <c r="D2" s="38" t="s">
        <v>84</v>
      </c>
      <c r="E2" s="37" t="s">
        <v>28</v>
      </c>
      <c r="F2" s="38" t="s">
        <v>83</v>
      </c>
      <c r="G2" s="37" t="s">
        <v>26</v>
      </c>
    </row>
    <row r="3" spans="2:8" x14ac:dyDescent="0.2">
      <c r="B3" s="5" t="s">
        <v>0</v>
      </c>
      <c r="C3" s="6">
        <v>622</v>
      </c>
      <c r="D3" s="42">
        <v>609</v>
      </c>
      <c r="E3" s="6">
        <f t="shared" ref="E3:E26" si="0">SUM(C3)-D3</f>
        <v>13</v>
      </c>
      <c r="F3" s="42">
        <v>610</v>
      </c>
      <c r="G3" s="6">
        <f t="shared" ref="G3:G27" si="1">SUM(C3)-F3</f>
        <v>12</v>
      </c>
      <c r="H3" s="7"/>
    </row>
    <row r="4" spans="2:8" x14ac:dyDescent="0.2">
      <c r="B4" s="5" t="s">
        <v>1</v>
      </c>
      <c r="C4" s="6">
        <v>2343</v>
      </c>
      <c r="D4" s="42">
        <v>2328</v>
      </c>
      <c r="E4" s="6">
        <f t="shared" si="0"/>
        <v>15</v>
      </c>
      <c r="F4" s="42">
        <v>2415</v>
      </c>
      <c r="G4" s="6">
        <f t="shared" si="1"/>
        <v>-72</v>
      </c>
      <c r="H4" s="7"/>
    </row>
    <row r="5" spans="2:8" x14ac:dyDescent="0.2">
      <c r="B5" s="5" t="s">
        <v>2</v>
      </c>
      <c r="C5" s="6">
        <v>980</v>
      </c>
      <c r="D5" s="42">
        <v>957</v>
      </c>
      <c r="E5" s="6">
        <f t="shared" si="0"/>
        <v>23</v>
      </c>
      <c r="F5" s="42">
        <v>988</v>
      </c>
      <c r="G5" s="6">
        <f t="shared" si="1"/>
        <v>-8</v>
      </c>
      <c r="H5" s="7"/>
    </row>
    <row r="6" spans="2:8" x14ac:dyDescent="0.2">
      <c r="B6" s="5" t="s">
        <v>3</v>
      </c>
      <c r="C6" s="6">
        <v>2423</v>
      </c>
      <c r="D6" s="42">
        <v>2420</v>
      </c>
      <c r="E6" s="6">
        <f t="shared" si="0"/>
        <v>3</v>
      </c>
      <c r="F6" s="42">
        <v>2493</v>
      </c>
      <c r="G6" s="6">
        <f t="shared" si="1"/>
        <v>-70</v>
      </c>
      <c r="H6" s="7"/>
    </row>
    <row r="7" spans="2:8" x14ac:dyDescent="0.2">
      <c r="B7" s="5" t="s">
        <v>4</v>
      </c>
      <c r="C7" s="6">
        <v>2886</v>
      </c>
      <c r="D7" s="42">
        <v>2889</v>
      </c>
      <c r="E7" s="6">
        <f t="shared" si="0"/>
        <v>-3</v>
      </c>
      <c r="F7" s="42">
        <v>2949</v>
      </c>
      <c r="G7" s="6">
        <f t="shared" si="1"/>
        <v>-63</v>
      </c>
      <c r="H7" s="7"/>
    </row>
    <row r="8" spans="2:8" x14ac:dyDescent="0.2">
      <c r="B8" s="5" t="s">
        <v>5</v>
      </c>
      <c r="C8" s="6">
        <v>725</v>
      </c>
      <c r="D8" s="42">
        <v>714</v>
      </c>
      <c r="E8" s="6">
        <f t="shared" si="0"/>
        <v>11</v>
      </c>
      <c r="F8" s="42">
        <v>739</v>
      </c>
      <c r="G8" s="6">
        <f t="shared" si="1"/>
        <v>-14</v>
      </c>
      <c r="H8" s="7"/>
    </row>
    <row r="9" spans="2:8" x14ac:dyDescent="0.2">
      <c r="B9" s="9" t="s">
        <v>6</v>
      </c>
      <c r="C9" s="6">
        <v>973</v>
      </c>
      <c r="D9" s="42">
        <v>972</v>
      </c>
      <c r="E9" s="6">
        <f t="shared" si="0"/>
        <v>1</v>
      </c>
      <c r="F9" s="42">
        <v>916</v>
      </c>
      <c r="G9" s="6">
        <f t="shared" si="1"/>
        <v>57</v>
      </c>
      <c r="H9" s="7"/>
    </row>
    <row r="10" spans="2:8" x14ac:dyDescent="0.2">
      <c r="B10" s="5" t="s">
        <v>7</v>
      </c>
      <c r="C10" s="6">
        <v>1021</v>
      </c>
      <c r="D10" s="42">
        <v>1013</v>
      </c>
      <c r="E10" s="6">
        <f t="shared" si="0"/>
        <v>8</v>
      </c>
      <c r="F10" s="42">
        <v>1021</v>
      </c>
      <c r="G10" s="6">
        <f t="shared" si="1"/>
        <v>0</v>
      </c>
      <c r="H10" s="7"/>
    </row>
    <row r="11" spans="2:8" x14ac:dyDescent="0.2">
      <c r="B11" s="5" t="s">
        <v>8</v>
      </c>
      <c r="C11" s="6">
        <v>1633</v>
      </c>
      <c r="D11" s="42">
        <v>1628</v>
      </c>
      <c r="E11" s="6">
        <f t="shared" si="0"/>
        <v>5</v>
      </c>
      <c r="F11" s="42">
        <v>1740</v>
      </c>
      <c r="G11" s="6">
        <f t="shared" si="1"/>
        <v>-107</v>
      </c>
      <c r="H11" s="7"/>
    </row>
    <row r="12" spans="2:8" x14ac:dyDescent="0.2">
      <c r="B12" s="5" t="s">
        <v>9</v>
      </c>
      <c r="C12" s="6">
        <v>849</v>
      </c>
      <c r="D12" s="42">
        <v>828</v>
      </c>
      <c r="E12" s="6">
        <f t="shared" si="0"/>
        <v>21</v>
      </c>
      <c r="F12" s="42">
        <v>880</v>
      </c>
      <c r="G12" s="6">
        <f t="shared" si="1"/>
        <v>-31</v>
      </c>
      <c r="H12" s="7"/>
    </row>
    <row r="13" spans="2:8" x14ac:dyDescent="0.2">
      <c r="B13" s="5" t="s">
        <v>10</v>
      </c>
      <c r="C13" s="6">
        <v>1191</v>
      </c>
      <c r="D13" s="42">
        <v>1204</v>
      </c>
      <c r="E13" s="6">
        <f t="shared" si="0"/>
        <v>-13</v>
      </c>
      <c r="F13" s="42">
        <v>1296</v>
      </c>
      <c r="G13" s="6">
        <f t="shared" si="1"/>
        <v>-105</v>
      </c>
      <c r="H13" s="7"/>
    </row>
    <row r="14" spans="2:8" x14ac:dyDescent="0.2">
      <c r="B14" s="5" t="s">
        <v>11</v>
      </c>
      <c r="C14" s="6">
        <v>1440</v>
      </c>
      <c r="D14" s="42">
        <v>1393</v>
      </c>
      <c r="E14" s="6">
        <f t="shared" si="0"/>
        <v>47</v>
      </c>
      <c r="F14" s="42">
        <v>1257</v>
      </c>
      <c r="G14" s="6">
        <f t="shared" si="1"/>
        <v>183</v>
      </c>
      <c r="H14" s="7"/>
    </row>
    <row r="15" spans="2:8" x14ac:dyDescent="0.2">
      <c r="B15" s="5" t="s">
        <v>12</v>
      </c>
      <c r="C15" s="6">
        <v>1621</v>
      </c>
      <c r="D15" s="42">
        <v>1612</v>
      </c>
      <c r="E15" s="6">
        <f t="shared" si="0"/>
        <v>9</v>
      </c>
      <c r="F15" s="42">
        <v>1704</v>
      </c>
      <c r="G15" s="6">
        <f t="shared" si="1"/>
        <v>-83</v>
      </c>
      <c r="H15" s="7"/>
    </row>
    <row r="16" spans="2:8" x14ac:dyDescent="0.2">
      <c r="B16" s="5" t="s">
        <v>13</v>
      </c>
      <c r="C16" s="6">
        <v>1657</v>
      </c>
      <c r="D16" s="42">
        <v>1628</v>
      </c>
      <c r="E16" s="6">
        <f t="shared" si="0"/>
        <v>29</v>
      </c>
      <c r="F16" s="42">
        <v>1724</v>
      </c>
      <c r="G16" s="6">
        <f t="shared" si="1"/>
        <v>-67</v>
      </c>
      <c r="H16" s="7"/>
    </row>
    <row r="17" spans="2:8" x14ac:dyDescent="0.2">
      <c r="B17" s="5" t="s">
        <v>14</v>
      </c>
      <c r="C17" s="6">
        <v>1923</v>
      </c>
      <c r="D17" s="42">
        <v>1900</v>
      </c>
      <c r="E17" s="6">
        <f t="shared" si="0"/>
        <v>23</v>
      </c>
      <c r="F17" s="42">
        <v>1983</v>
      </c>
      <c r="G17" s="6">
        <f t="shared" si="1"/>
        <v>-60</v>
      </c>
      <c r="H17" s="7"/>
    </row>
    <row r="18" spans="2:8" x14ac:dyDescent="0.2">
      <c r="B18" s="5" t="s">
        <v>15</v>
      </c>
      <c r="C18" s="6">
        <v>1296</v>
      </c>
      <c r="D18" s="42">
        <v>1285</v>
      </c>
      <c r="E18" s="6">
        <f t="shared" si="0"/>
        <v>11</v>
      </c>
      <c r="F18" s="42">
        <v>1371</v>
      </c>
      <c r="G18" s="6">
        <f t="shared" si="1"/>
        <v>-75</v>
      </c>
      <c r="H18" s="7"/>
    </row>
    <row r="19" spans="2:8" x14ac:dyDescent="0.2">
      <c r="B19" s="5" t="s">
        <v>16</v>
      </c>
      <c r="C19" s="6">
        <v>2482</v>
      </c>
      <c r="D19" s="42">
        <v>2491</v>
      </c>
      <c r="E19" s="6">
        <f t="shared" si="0"/>
        <v>-9</v>
      </c>
      <c r="F19" s="42">
        <v>2661</v>
      </c>
      <c r="G19" s="6">
        <f t="shared" si="1"/>
        <v>-179</v>
      </c>
      <c r="H19" s="7"/>
    </row>
    <row r="20" spans="2:8" x14ac:dyDescent="0.2">
      <c r="B20" s="5" t="s">
        <v>17</v>
      </c>
      <c r="C20" s="6">
        <v>1457</v>
      </c>
      <c r="D20" s="42">
        <v>1449</v>
      </c>
      <c r="E20" s="6">
        <f t="shared" si="0"/>
        <v>8</v>
      </c>
      <c r="F20" s="42">
        <v>1333</v>
      </c>
      <c r="G20" s="6">
        <f t="shared" si="1"/>
        <v>124</v>
      </c>
      <c r="H20" s="7"/>
    </row>
    <row r="21" spans="2:8" x14ac:dyDescent="0.2">
      <c r="B21" s="5" t="s">
        <v>18</v>
      </c>
      <c r="C21" s="6">
        <v>793</v>
      </c>
      <c r="D21" s="42">
        <v>790</v>
      </c>
      <c r="E21" s="6">
        <f t="shared" si="0"/>
        <v>3</v>
      </c>
      <c r="F21" s="42">
        <v>765</v>
      </c>
      <c r="G21" s="6">
        <f t="shared" si="1"/>
        <v>28</v>
      </c>
      <c r="H21" s="7"/>
    </row>
    <row r="22" spans="2:8" x14ac:dyDescent="0.2">
      <c r="B22" s="5" t="s">
        <v>19</v>
      </c>
      <c r="C22" s="6">
        <v>1870</v>
      </c>
      <c r="D22" s="42">
        <v>1862</v>
      </c>
      <c r="E22" s="6">
        <f t="shared" si="0"/>
        <v>8</v>
      </c>
      <c r="F22" s="42">
        <v>1910</v>
      </c>
      <c r="G22" s="6">
        <f t="shared" si="1"/>
        <v>-40</v>
      </c>
      <c r="H22" s="7"/>
    </row>
    <row r="23" spans="2:8" x14ac:dyDescent="0.2">
      <c r="B23" s="5" t="s">
        <v>20</v>
      </c>
      <c r="C23" s="6">
        <v>619</v>
      </c>
      <c r="D23" s="42">
        <v>626</v>
      </c>
      <c r="E23" s="6">
        <f t="shared" si="0"/>
        <v>-7</v>
      </c>
      <c r="F23" s="42">
        <v>616</v>
      </c>
      <c r="G23" s="6">
        <f t="shared" si="1"/>
        <v>3</v>
      </c>
      <c r="H23" s="7"/>
    </row>
    <row r="24" spans="2:8" x14ac:dyDescent="0.2">
      <c r="B24" s="5" t="s">
        <v>21</v>
      </c>
      <c r="C24" s="6">
        <v>338</v>
      </c>
      <c r="D24" s="42">
        <v>331</v>
      </c>
      <c r="E24" s="6">
        <f t="shared" si="0"/>
        <v>7</v>
      </c>
      <c r="F24" s="42">
        <v>290</v>
      </c>
      <c r="G24" s="6">
        <f t="shared" si="1"/>
        <v>48</v>
      </c>
      <c r="H24" s="7"/>
    </row>
    <row r="25" spans="2:8" x14ac:dyDescent="0.2">
      <c r="B25" s="5" t="s">
        <v>22</v>
      </c>
      <c r="C25" s="26">
        <v>1432</v>
      </c>
      <c r="D25" s="42">
        <v>1438</v>
      </c>
      <c r="E25" s="26">
        <f t="shared" si="0"/>
        <v>-6</v>
      </c>
      <c r="F25" s="42">
        <v>1519</v>
      </c>
      <c r="G25" s="6">
        <f t="shared" si="1"/>
        <v>-87</v>
      </c>
      <c r="H25" s="7"/>
    </row>
    <row r="26" spans="2:8" x14ac:dyDescent="0.2">
      <c r="B26" s="5" t="s">
        <v>23</v>
      </c>
      <c r="C26" s="26">
        <v>2942</v>
      </c>
      <c r="D26" s="42">
        <v>2957</v>
      </c>
      <c r="E26" s="26">
        <f t="shared" si="0"/>
        <v>-15</v>
      </c>
      <c r="F26" s="42">
        <v>3147</v>
      </c>
      <c r="G26" s="6">
        <f t="shared" si="1"/>
        <v>-205</v>
      </c>
      <c r="H26" s="7"/>
    </row>
    <row r="27" spans="2:8" x14ac:dyDescent="0.2">
      <c r="B27" s="5" t="s">
        <v>24</v>
      </c>
      <c r="C27" s="26">
        <v>533</v>
      </c>
      <c r="D27" s="42">
        <v>535</v>
      </c>
      <c r="E27" s="26">
        <f>SUM(C27)-D27</f>
        <v>-2</v>
      </c>
      <c r="F27" s="42">
        <v>538</v>
      </c>
      <c r="G27" s="6">
        <f t="shared" si="1"/>
        <v>-5</v>
      </c>
      <c r="H27" s="7"/>
    </row>
    <row r="28" spans="2:8" ht="15" x14ac:dyDescent="0.25">
      <c r="B28" s="39" t="s">
        <v>25</v>
      </c>
      <c r="C28" s="40">
        <f>SUM(C3:C27)</f>
        <v>36049</v>
      </c>
      <c r="D28" s="41">
        <f>SUM(D3:D27)</f>
        <v>35859</v>
      </c>
      <c r="E28" s="40">
        <f>SUM(E3:E27)</f>
        <v>190</v>
      </c>
      <c r="F28" s="41">
        <f>SUM(F3:F27)</f>
        <v>36865</v>
      </c>
      <c r="G28" s="40">
        <f>SUM(G3:G27)</f>
        <v>-816</v>
      </c>
      <c r="H28" s="7"/>
    </row>
    <row r="29" spans="2:8" ht="15" x14ac:dyDescent="0.25">
      <c r="B29" s="3" t="s">
        <v>49</v>
      </c>
      <c r="E29" s="19"/>
      <c r="F29" s="7"/>
      <c r="G29" s="7"/>
    </row>
    <row r="30" spans="2:8" x14ac:dyDescent="0.2">
      <c r="B30" s="3" t="s">
        <v>50</v>
      </c>
    </row>
    <row r="32" spans="2:8" ht="25.5" x14ac:dyDescent="0.2">
      <c r="C32" s="143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31-08-'24 r.</v>
      </c>
      <c r="E3" s="36" t="str">
        <f>T('4długot.'!D2)</f>
        <v>liczba bezrobotnych pow. 12 m-cy stan na 31-07-'24 r.</v>
      </c>
      <c r="F3" s="36" t="str">
        <f>T('4długot.'!E2)</f>
        <v>wzrost/spadek do poprzedniego  miesiąca</v>
      </c>
      <c r="G3" s="36" t="str">
        <f>T('4długot.'!F2)</f>
        <v>liczba bezrobotnych pow. 12 m-cy,  stan na 31-08-'23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338</v>
      </c>
      <c r="E4" s="42">
        <f>INDEX('4długot.'!B3:G28,MATCH(1,B4:B29,0),3)</f>
        <v>331</v>
      </c>
      <c r="F4" s="6">
        <f>INDEX('4długot.'!B3:G28,MATCH(1,B4:B29,0),4)</f>
        <v>7</v>
      </c>
      <c r="G4" s="42">
        <f>INDEX('4długot.'!B3:G28,MATCH(1,B4:B29,0),5)</f>
        <v>290</v>
      </c>
      <c r="H4" s="6">
        <f>INDEX('4długot.'!B3:G28,MATCH(1,B4:B29,0),6)</f>
        <v>48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533</v>
      </c>
      <c r="E5" s="42">
        <f>INDEX('4długot.'!B3:G28,MATCH(2,B4:B29,0),3)</f>
        <v>535</v>
      </c>
      <c r="F5" s="6">
        <f>INDEX('4długot.'!B3:G28,MATCH(2,B4:B29,0),4)</f>
        <v>-2</v>
      </c>
      <c r="G5" s="42">
        <f>INDEX('4długot.'!B3:G28,MATCH(2,B4:B29,0),5)</f>
        <v>538</v>
      </c>
      <c r="H5" s="6">
        <f>INDEX('4długot.'!B3:G28,MATCH(2,B4:B29,0),6)</f>
        <v>-5</v>
      </c>
    </row>
    <row r="6" spans="2:8" x14ac:dyDescent="0.2">
      <c r="B6" s="6">
        <f>RANK('4długot.'!C5,'4długot.'!$C$3:'4długot.'!$C$28,1)+COUNTIF('4długot.'!$C$3:'4długot.'!C5,'4długot.'!C5)-1</f>
        <v>9</v>
      </c>
      <c r="C6" s="5" t="str">
        <f>INDEX('4długot.'!B3:G28,MATCH(3,B4:B29,0),1)</f>
        <v xml:space="preserve">tarnobrzeski </v>
      </c>
      <c r="D6" s="6">
        <f>INDEX('4długot.'!B3:G28,MATCH(3,B4:B29,0),2)</f>
        <v>619</v>
      </c>
      <c r="E6" s="42">
        <f>INDEX('4długot.'!B3:G28,MATCH(3,B4:B29,0),3)</f>
        <v>626</v>
      </c>
      <c r="F6" s="6">
        <f>INDEX('4długot.'!B3:G28,MATCH(3,B4:B29,0),4)</f>
        <v>-7</v>
      </c>
      <c r="G6" s="42">
        <f>INDEX('4długot.'!B3:G28,MATCH(3,B4:B29,0),5)</f>
        <v>616</v>
      </c>
      <c r="H6" s="6">
        <f>INDEX('4długot.'!B3:G28,MATCH(3,B4:B29,0),6)</f>
        <v>3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622</v>
      </c>
      <c r="E7" s="42">
        <f>INDEX('4długot.'!B3:G28,MATCH(4,B4:B29,0),3)</f>
        <v>609</v>
      </c>
      <c r="F7" s="6">
        <f>INDEX('4długot.'!B3:G28,MATCH(4,B4:B29,0),4)</f>
        <v>13</v>
      </c>
      <c r="G7" s="42">
        <f>INDEX('4długot.'!B3:G28,MATCH(4,B4:B29,0),5)</f>
        <v>610</v>
      </c>
      <c r="H7" s="6">
        <f>INDEX('4długot.'!B3:G28,MATCH(4,B4:B29,0),6)</f>
        <v>12</v>
      </c>
    </row>
    <row r="8" spans="2:8" x14ac:dyDescent="0.2">
      <c r="B8" s="6">
        <f>RANK('4długot.'!C7,'4długot.'!$C$3:'4długot.'!$C$28,1)+COUNTIF('4długot.'!$C$3:'4długot.'!C7,'4długot.'!C7)-1</f>
        <v>24</v>
      </c>
      <c r="C8" s="5" t="str">
        <f>INDEX('4długot.'!B3:G28,MATCH(5,B4:B29,0),1)</f>
        <v>kolbuszowski</v>
      </c>
      <c r="D8" s="6">
        <f>INDEX('4długot.'!B3:G28,MATCH(5,B4:B29,0),2)</f>
        <v>725</v>
      </c>
      <c r="E8" s="42">
        <f>INDEX('4długot.'!B3:G28,MATCH(5,B4:B29,0),3)</f>
        <v>714</v>
      </c>
      <c r="F8" s="6">
        <f>INDEX('4długot.'!B3:G28,MATCH(5,B4:B29,0),4)</f>
        <v>11</v>
      </c>
      <c r="G8" s="42">
        <f>INDEX('4długot.'!B3:G28,MATCH(5,B4:B29,0),5)</f>
        <v>739</v>
      </c>
      <c r="H8" s="6">
        <f>INDEX('4długot.'!B3:G28,MATCH(5,B4:B29,0),6)</f>
        <v>-14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stalowowolski</v>
      </c>
      <c r="D9" s="6">
        <f>INDEX('4długot.'!B3:G28,MATCH(6,B4:B29,0),2)</f>
        <v>793</v>
      </c>
      <c r="E9" s="42">
        <f>INDEX('4długot.'!B3:G28,MATCH(6,B4:B29,0),3)</f>
        <v>790</v>
      </c>
      <c r="F9" s="6">
        <f>INDEX('4długot.'!B3:G28,MATCH(6,B4:B29,0),4)</f>
        <v>3</v>
      </c>
      <c r="G9" s="42">
        <f>INDEX('4długot.'!B3:G28,MATCH(6,B4:B29,0),5)</f>
        <v>765</v>
      </c>
      <c r="H9" s="6">
        <f>INDEX('4długot.'!B3:G28,MATCH(6,B4:B29,0),6)</f>
        <v>28</v>
      </c>
    </row>
    <row r="10" spans="2:8" x14ac:dyDescent="0.2">
      <c r="B10" s="6">
        <f>RANK('4długot.'!C9,'4długot.'!$C$3:'4długot.'!$C$28,1)+COUNTIF('4długot.'!$C$3:'4długot.'!C9,'4długot.'!C9)-1</f>
        <v>8</v>
      </c>
      <c r="C10" s="9" t="str">
        <f>INDEX('4długot.'!B3:G28,MATCH(7,B4:B29,0),1)</f>
        <v>lubaczowski</v>
      </c>
      <c r="D10" s="6">
        <f>INDEX('4długot.'!B3:G28,MATCH(7,B4:B29,0),2)</f>
        <v>849</v>
      </c>
      <c r="E10" s="42">
        <f>INDEX('4długot.'!B3:G28,MATCH(7,B4:B29,0),3)</f>
        <v>828</v>
      </c>
      <c r="F10" s="6">
        <f>INDEX('4długot.'!B3:G28,MATCH(7,B4:B29,0),4)</f>
        <v>21</v>
      </c>
      <c r="G10" s="42">
        <f>INDEX('4długot.'!B3:G28,MATCH(7,B4:B29,0),5)</f>
        <v>880</v>
      </c>
      <c r="H10" s="6">
        <f>INDEX('4długot.'!B3:G28,MATCH(7,B4:B29,0),6)</f>
        <v>-31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krośnieński</v>
      </c>
      <c r="D11" s="6">
        <f>INDEX('4długot.'!B3:G28,MATCH(8,B4:B29,0),2)</f>
        <v>973</v>
      </c>
      <c r="E11" s="42">
        <f>INDEX('4długot.'!B3:G28,MATCH(8,B4:B29,0),3)</f>
        <v>972</v>
      </c>
      <c r="F11" s="6">
        <f>INDEX('4długot.'!B3:G28,MATCH(8,B4:B29,0),4)</f>
        <v>1</v>
      </c>
      <c r="G11" s="42">
        <f>INDEX('4długot.'!B3:G28,MATCH(8,B4:B29,0),5)</f>
        <v>916</v>
      </c>
      <c r="H11" s="6">
        <f>INDEX('4długot.'!B3:G28,MATCH(8,B4:B29,0),6)</f>
        <v>57</v>
      </c>
    </row>
    <row r="12" spans="2:8" x14ac:dyDescent="0.2">
      <c r="B12" s="6">
        <f>RANK('4długot.'!C11,'4długot.'!$C$3:'4długot.'!$C$28,1)+COUNTIF('4długot.'!$C$3:'4długot.'!C11,'4długot.'!C11)-1</f>
        <v>17</v>
      </c>
      <c r="C12" s="5" t="str">
        <f>INDEX('4długot.'!B3:G28,MATCH(9,B4:B29,0),1)</f>
        <v>dębicki</v>
      </c>
      <c r="D12" s="6">
        <f>INDEX('4długot.'!B3:G28,MATCH(9,B4:B29,0),2)</f>
        <v>980</v>
      </c>
      <c r="E12" s="42">
        <f>INDEX('4długot.'!B3:G28,MATCH(9,B4:B29,0),3)</f>
        <v>957</v>
      </c>
      <c r="F12" s="6">
        <f>INDEX('4długot.'!B3:G28,MATCH(9,B4:B29,0),4)</f>
        <v>23</v>
      </c>
      <c r="G12" s="42">
        <f>INDEX('4długot.'!B3:G28,MATCH(9,B4:B29,0),5)</f>
        <v>988</v>
      </c>
      <c r="H12" s="6">
        <f>INDEX('4długot.'!B3:G28,MATCH(9,B4:B29,0),6)</f>
        <v>-8</v>
      </c>
    </row>
    <row r="13" spans="2:8" x14ac:dyDescent="0.2">
      <c r="B13" s="6">
        <f>RANK('4długot.'!C12,'4długot.'!$C$3:'4długot.'!$C$28,1)+COUNTIF('4długot.'!$C$3:'4długot.'!C12,'4długot.'!C12)-1</f>
        <v>7</v>
      </c>
      <c r="C13" s="5" t="str">
        <f>INDEX('4długot.'!B3:G28,MATCH(10,B4:B29,0),1)</f>
        <v>leski</v>
      </c>
      <c r="D13" s="6">
        <f>INDEX('4długot.'!B3:G28,MATCH(10,B4:B29,0),2)</f>
        <v>1021</v>
      </c>
      <c r="E13" s="42">
        <f>INDEX('4długot.'!B3:G28,MATCH(10,B4:B29,0),3)</f>
        <v>1013</v>
      </c>
      <c r="F13" s="6">
        <f>INDEX('4długot.'!B3:G28,MATCH(10,B4:B29,0),4)</f>
        <v>8</v>
      </c>
      <c r="G13" s="42">
        <f>INDEX('4długot.'!B3:G28,MATCH(10,B4:B29,0),5)</f>
        <v>1021</v>
      </c>
      <c r="H13" s="6">
        <f>INDEX('4długot.'!B3:G28,MATCH(10,B4:B29,0),6)</f>
        <v>0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1191</v>
      </c>
      <c r="E14" s="42">
        <f>INDEX('4długot.'!B3:G28,MATCH(11,B4:B29,0),3)</f>
        <v>1204</v>
      </c>
      <c r="F14" s="6">
        <f>INDEX('4długot.'!B3:G28,MATCH(11,B4:B29,0),4)</f>
        <v>-13</v>
      </c>
      <c r="G14" s="42">
        <f>INDEX('4długot.'!B3:G28,MATCH(11,B4:B29,0),5)</f>
        <v>1296</v>
      </c>
      <c r="H14" s="6">
        <f>INDEX('4długot.'!B3:G28,MATCH(11,B4:B29,0),6)</f>
        <v>-105</v>
      </c>
    </row>
    <row r="15" spans="2:8" x14ac:dyDescent="0.2">
      <c r="B15" s="6">
        <f>RANK('4długot.'!C14,'4długot.'!$C$3:'4długot.'!$C$28,1)+COUNTIF('4długot.'!$C$3:'4długot.'!C14,'4długot.'!C14)-1</f>
        <v>14</v>
      </c>
      <c r="C15" s="5" t="str">
        <f>INDEX('4długot.'!B3:G28,MATCH(12,B4:B29,0),1)</f>
        <v>ropczycko-sędziszowski</v>
      </c>
      <c r="D15" s="6">
        <f>INDEX('4długot.'!B3:G28,MATCH(12,B4:B29,0),2)</f>
        <v>1296</v>
      </c>
      <c r="E15" s="42">
        <f>INDEX('4długot.'!B3:G28,MATCH(12,B4:B29,0),3)</f>
        <v>1285</v>
      </c>
      <c r="F15" s="6">
        <f>INDEX('4długot.'!B3:G28,MATCH(12,B4:B29,0),4)</f>
        <v>11</v>
      </c>
      <c r="G15" s="42">
        <f>INDEX('4długot.'!B3:G28,MATCH(12,B4:B29,0),5)</f>
        <v>1371</v>
      </c>
      <c r="H15" s="6">
        <f>INDEX('4długot.'!B3:G28,MATCH(12,B4:B29,0),6)</f>
        <v>-75</v>
      </c>
    </row>
    <row r="16" spans="2:8" x14ac:dyDescent="0.2">
      <c r="B16" s="6">
        <f>RANK('4długot.'!C15,'4długot.'!$C$3:'4długot.'!$C$28,1)+COUNTIF('4długot.'!$C$3:'4długot.'!C15,'4długot.'!C15)-1</f>
        <v>16</v>
      </c>
      <c r="C16" s="5" t="str">
        <f>INDEX('4długot.'!B3:G28,MATCH(13,B4:B29,0),1)</f>
        <v>Przemyśl</v>
      </c>
      <c r="D16" s="6">
        <f>INDEX('4długot.'!B3:G28,MATCH(13,B4:B29,0),2)</f>
        <v>1432</v>
      </c>
      <c r="E16" s="42">
        <f>INDEX('4długot.'!B3:G28,MATCH(13,B4:B29,0),3)</f>
        <v>1438</v>
      </c>
      <c r="F16" s="6">
        <f>INDEX('4długot.'!B3:G28,MATCH(13,B4:B29,0),4)</f>
        <v>-6</v>
      </c>
      <c r="G16" s="42">
        <f>INDEX('4długot.'!B3:G28,MATCH(13,B4:B29,0),5)</f>
        <v>1519</v>
      </c>
      <c r="H16" s="6">
        <f>INDEX('4długot.'!B3:G28,MATCH(13,B4:B29,0),6)</f>
        <v>-87</v>
      </c>
    </row>
    <row r="17" spans="2:8" x14ac:dyDescent="0.2">
      <c r="B17" s="6">
        <f>RANK('4długot.'!C16,'4długot.'!$C$3:'4długot.'!$C$28,1)+COUNTIF('4długot.'!$C$3:'4długot.'!C16,'4długot.'!C16)-1</f>
        <v>18</v>
      </c>
      <c r="C17" s="5" t="str">
        <f>INDEX('4długot.'!B3:G28,MATCH(14,B4:B29,0),1)</f>
        <v>mielecki</v>
      </c>
      <c r="D17" s="6">
        <f>INDEX('4długot.'!B3:G28,MATCH(14,B4:B29,0),2)</f>
        <v>1440</v>
      </c>
      <c r="E17" s="42">
        <f>INDEX('4długot.'!B3:G28,MATCH(14,B4:B29,0),3)</f>
        <v>1393</v>
      </c>
      <c r="F17" s="6">
        <f>INDEX('4długot.'!B3:G28,MATCH(14,B4:B29,0),4)</f>
        <v>47</v>
      </c>
      <c r="G17" s="42">
        <f>INDEX('4długot.'!B3:G28,MATCH(14,B4:B29,0),5)</f>
        <v>1257</v>
      </c>
      <c r="H17" s="6">
        <f>INDEX('4długot.'!B3:G28,MATCH(14,B4:B29,0),6)</f>
        <v>183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1457</v>
      </c>
      <c r="E18" s="42">
        <f>INDEX('4długot.'!B3:G28,MATCH(15,B4:B29,0),3)</f>
        <v>1449</v>
      </c>
      <c r="F18" s="6">
        <f>INDEX('4długot.'!B3:G28,MATCH(15,B4:B29,0),4)</f>
        <v>8</v>
      </c>
      <c r="G18" s="42">
        <f>INDEX('4długot.'!B3:G28,MATCH(15,B4:B29,0),5)</f>
        <v>1333</v>
      </c>
      <c r="H18" s="6">
        <f>INDEX('4długot.'!B3:G28,MATCH(15,B4:B29,0),6)</f>
        <v>124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niżański</v>
      </c>
      <c r="D19" s="6">
        <f>INDEX('4długot.'!B3:G28,MATCH(16,B4:B29,0),2)</f>
        <v>1621</v>
      </c>
      <c r="E19" s="42">
        <f>INDEX('4długot.'!B3:G28,MATCH(16,B4:B29,0),3)</f>
        <v>1612</v>
      </c>
      <c r="F19" s="6">
        <f>INDEX('4długot.'!B3:G28,MATCH(16,B4:B29,0),4)</f>
        <v>9</v>
      </c>
      <c r="G19" s="42">
        <f>INDEX('4długot.'!B3:G28,MATCH(16,B4:B29,0),5)</f>
        <v>1704</v>
      </c>
      <c r="H19" s="6">
        <f>INDEX('4długot.'!B3:G28,MATCH(16,B4:B29,0),6)</f>
        <v>-83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leżajski</v>
      </c>
      <c r="D20" s="6">
        <f>INDEX('4długot.'!B3:G28,MATCH(17,B4:B29,0),2)</f>
        <v>1633</v>
      </c>
      <c r="E20" s="42">
        <f>INDEX('4długot.'!B3:G28,MATCH(17,B4:B29,0),3)</f>
        <v>1628</v>
      </c>
      <c r="F20" s="6">
        <f>INDEX('4długot.'!B3:G28,MATCH(17,B4:B29,0),4)</f>
        <v>5</v>
      </c>
      <c r="G20" s="42">
        <f>INDEX('4długot.'!B3:G28,MATCH(17,B4:B29,0),5)</f>
        <v>1740</v>
      </c>
      <c r="H20" s="6">
        <f>INDEX('4długot.'!B3:G28,MATCH(17,B4:B29,0),6)</f>
        <v>-107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przemyski</v>
      </c>
      <c r="D21" s="6">
        <f>INDEX('4długot.'!B3:G28,MATCH(18,B4:B29,0),2)</f>
        <v>1657</v>
      </c>
      <c r="E21" s="42">
        <f>INDEX('4długot.'!B3:G28,MATCH(18,B4:B29,0),3)</f>
        <v>1628</v>
      </c>
      <c r="F21" s="6">
        <f>INDEX('4długot.'!B3:G28,MATCH(18,B4:B29,0),4)</f>
        <v>29</v>
      </c>
      <c r="G21" s="42">
        <f>INDEX('4długot.'!B3:G28,MATCH(18,B4:B29,0),5)</f>
        <v>1724</v>
      </c>
      <c r="H21" s="6">
        <f>INDEX('4długot.'!B3:G28,MATCH(18,B4:B29,0),6)</f>
        <v>-67</v>
      </c>
    </row>
    <row r="22" spans="2:8" x14ac:dyDescent="0.2">
      <c r="B22" s="6">
        <f>RANK('4długot.'!C21,'4długot.'!$C$3:'4długot.'!$C$28,1)+COUNTIF('4długot.'!$C$3:'4długot.'!C21,'4długot.'!C21)-1</f>
        <v>6</v>
      </c>
      <c r="C22" s="5" t="str">
        <f>INDEX('4długot.'!B3:G28,MATCH(19,B4:B29,0),1)</f>
        <v>strzyżowski</v>
      </c>
      <c r="D22" s="6">
        <f>INDEX('4długot.'!B3:G28,MATCH(19,B4:B29,0),2)</f>
        <v>1870</v>
      </c>
      <c r="E22" s="42">
        <f>INDEX('4długot.'!B3:G28,MATCH(19,B4:B29,0),3)</f>
        <v>1862</v>
      </c>
      <c r="F22" s="6">
        <f>INDEX('4długot.'!B3:G28,MATCH(19,B4:B29,0),4)</f>
        <v>8</v>
      </c>
      <c r="G22" s="42">
        <f>INDEX('4długot.'!B3:G28,MATCH(19,B4:B29,0),5)</f>
        <v>1910</v>
      </c>
      <c r="H22" s="6">
        <f>INDEX('4długot.'!B3:G28,MATCH(19,B4:B29,0),6)</f>
        <v>-40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1923</v>
      </c>
      <c r="E23" s="42">
        <f>INDEX('4długot.'!B3:G28,MATCH(20,B4:B29,0),3)</f>
        <v>1900</v>
      </c>
      <c r="F23" s="6">
        <f>INDEX('4długot.'!B3:G28,MATCH(20,B4:B29,0),4)</f>
        <v>23</v>
      </c>
      <c r="G23" s="42">
        <f>INDEX('4długot.'!B3:G28,MATCH(20,B4:B29,0),5)</f>
        <v>1983</v>
      </c>
      <c r="H23" s="6">
        <f>INDEX('4długot.'!B3:G28,MATCH(20,B4:B29,0),6)</f>
        <v>-60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2343</v>
      </c>
      <c r="E24" s="42">
        <f>INDEX('4długot.'!B3:G28,MATCH(21,B4:B29,0),3)</f>
        <v>2328</v>
      </c>
      <c r="F24" s="6">
        <f>INDEX('4długot.'!B3:G28,MATCH(21,B4:B29,0),4)</f>
        <v>15</v>
      </c>
      <c r="G24" s="42">
        <f>INDEX('4długot.'!B3:G28,MATCH(21,B4:B29,0),5)</f>
        <v>2415</v>
      </c>
      <c r="H24" s="6">
        <f>INDEX('4długot.'!B3:G28,MATCH(21,B4:B29,0),6)</f>
        <v>-72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2423</v>
      </c>
      <c r="E25" s="42">
        <f>INDEX('4długot.'!B3:G28,MATCH(22,B4:B29,0),3)</f>
        <v>2420</v>
      </c>
      <c r="F25" s="6">
        <f>INDEX('4długot.'!B3:G28,MATCH(22,B4:B29,0),4)</f>
        <v>3</v>
      </c>
      <c r="G25" s="42">
        <f>INDEX('4długot.'!B3:G28,MATCH(22,B4:B29,0),5)</f>
        <v>2493</v>
      </c>
      <c r="H25" s="6">
        <f>INDEX('4długot.'!B3:G28,MATCH(22,B4:B29,0),6)</f>
        <v>-70</v>
      </c>
    </row>
    <row r="26" spans="2:8" x14ac:dyDescent="0.2">
      <c r="B26" s="6">
        <f>RANK('4długot.'!C25,'4długot.'!$C$3:'4długot.'!$C$28,1)+COUNTIF('4długot.'!$C$3:'4długot.'!C25,'4długot.'!C25)-1</f>
        <v>13</v>
      </c>
      <c r="C26" s="5" t="str">
        <f>INDEX('4długot.'!B3:G28,MATCH(23,B4:B29,0),1)</f>
        <v>rzeszowski</v>
      </c>
      <c r="D26" s="6">
        <f>INDEX('4długot.'!B3:G28,MATCH(23,B4:B29,0),2)</f>
        <v>2482</v>
      </c>
      <c r="E26" s="42">
        <f>INDEX('4długot.'!B3:G28,MATCH(23,B4:B29,0),3)</f>
        <v>2491</v>
      </c>
      <c r="F26" s="6">
        <f>INDEX('4długot.'!B3:G28,MATCH(23,B4:B29,0),4)</f>
        <v>-9</v>
      </c>
      <c r="G26" s="42">
        <f>INDEX('4długot.'!B3:G28,MATCH(23,B4:B29,0),5)</f>
        <v>2661</v>
      </c>
      <c r="H26" s="6">
        <f>INDEX('4długot.'!B3:G28,MATCH(23,B4:B29,0),6)</f>
        <v>-179</v>
      </c>
    </row>
    <row r="27" spans="2:8" x14ac:dyDescent="0.2">
      <c r="B27" s="6">
        <f>RANK('4długot.'!C26,'4długot.'!$C$3:'4długot.'!$C$28,1)+COUNTIF('4długot.'!$C$3:'4długot.'!C26,'4długot.'!C26)-1</f>
        <v>25</v>
      </c>
      <c r="C27" s="5" t="str">
        <f>INDEX('4długot.'!B3:G28,MATCH(24,B4:B29,0),1)</f>
        <v>jasielski</v>
      </c>
      <c r="D27" s="6">
        <f>INDEX('4długot.'!B3:G28,MATCH(24,B4:B29,0),2)</f>
        <v>2886</v>
      </c>
      <c r="E27" s="42">
        <f>INDEX('4długot.'!B3:G28,MATCH(24,B4:B29,0),3)</f>
        <v>2889</v>
      </c>
      <c r="F27" s="6">
        <f>INDEX('4długot.'!B3:G28,MATCH(24,B4:B29,0),4)</f>
        <v>-3</v>
      </c>
      <c r="G27" s="42">
        <f>INDEX('4długot.'!B3:G28,MATCH(24,B4:B29,0),5)</f>
        <v>2949</v>
      </c>
      <c r="H27" s="6">
        <f>INDEX('4długot.'!B3:G28,MATCH(24,B4:B29,0),6)</f>
        <v>-63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Rzeszów</v>
      </c>
      <c r="D28" s="6">
        <f>INDEX('4długot.'!B3:G28,MATCH(25,B4:B29,0),2)</f>
        <v>2942</v>
      </c>
      <c r="E28" s="42">
        <f>INDEX('4długot.'!B3:G28,MATCH(25,B4:B29,0),3)</f>
        <v>2957</v>
      </c>
      <c r="F28" s="6">
        <f>INDEX('4długot.'!B3:G28,MATCH(25,B4:B29,0),4)</f>
        <v>-15</v>
      </c>
      <c r="G28" s="42">
        <f>INDEX('4długot.'!B3:G28,MATCH(25,B4:B29,0),5)</f>
        <v>3147</v>
      </c>
      <c r="H28" s="6">
        <f>INDEX('4długot.'!B3:G28,MATCH(25,B4:B29,0),6)</f>
        <v>-205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36049</v>
      </c>
      <c r="E29" s="44">
        <f>INDEX('4długot.'!B3:G28,MATCH(26,B4:B29,0),3)</f>
        <v>35859</v>
      </c>
      <c r="F29" s="40">
        <f>INDEX('4długot.'!B3:G28,MATCH(26,B4:B29,0),4)</f>
        <v>190</v>
      </c>
      <c r="G29" s="44">
        <f>INDEX('4długot.'!B3:G28,MATCH(26,B4:B29,0),5)</f>
        <v>36865</v>
      </c>
      <c r="H29" s="40">
        <f>INDEX('4długot.'!B3:G28,MATCH(26,B4:B29,0),6)</f>
        <v>-816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88</v>
      </c>
      <c r="D2" s="38" t="s">
        <v>87</v>
      </c>
      <c r="E2" s="37" t="s">
        <v>28</v>
      </c>
      <c r="F2" s="38" t="s">
        <v>86</v>
      </c>
      <c r="G2" s="37" t="s">
        <v>26</v>
      </c>
    </row>
    <row r="3" spans="2:8" x14ac:dyDescent="0.2">
      <c r="B3" s="5" t="s">
        <v>0</v>
      </c>
      <c r="C3" s="28">
        <v>260</v>
      </c>
      <c r="D3" s="42">
        <v>254</v>
      </c>
      <c r="E3" s="28">
        <f t="shared" ref="E3:E27" si="0">SUM(C3)-D3</f>
        <v>6</v>
      </c>
      <c r="F3" s="42">
        <v>237</v>
      </c>
      <c r="G3" s="28">
        <f t="shared" ref="G3:G27" si="1">SUM(C3)-F3</f>
        <v>23</v>
      </c>
      <c r="H3" s="7"/>
    </row>
    <row r="4" spans="2:8" x14ac:dyDescent="0.2">
      <c r="B4" s="5" t="s">
        <v>1</v>
      </c>
      <c r="C4" s="28">
        <v>925</v>
      </c>
      <c r="D4" s="42">
        <v>888</v>
      </c>
      <c r="E4" s="28">
        <f t="shared" si="0"/>
        <v>37</v>
      </c>
      <c r="F4" s="42">
        <v>949</v>
      </c>
      <c r="G4" s="28">
        <f t="shared" si="1"/>
        <v>-24</v>
      </c>
      <c r="H4" s="7"/>
    </row>
    <row r="5" spans="2:8" x14ac:dyDescent="0.2">
      <c r="B5" s="5" t="s">
        <v>2</v>
      </c>
      <c r="C5" s="28">
        <v>704</v>
      </c>
      <c r="D5" s="42">
        <v>659</v>
      </c>
      <c r="E5" s="28">
        <f t="shared" si="0"/>
        <v>45</v>
      </c>
      <c r="F5" s="42">
        <v>696</v>
      </c>
      <c r="G5" s="28">
        <f t="shared" si="1"/>
        <v>8</v>
      </c>
      <c r="H5" s="7"/>
    </row>
    <row r="6" spans="2:8" x14ac:dyDescent="0.2">
      <c r="B6" s="5" t="s">
        <v>3</v>
      </c>
      <c r="C6" s="28">
        <v>1099</v>
      </c>
      <c r="D6" s="42">
        <v>1079</v>
      </c>
      <c r="E6" s="28">
        <f t="shared" si="0"/>
        <v>20</v>
      </c>
      <c r="F6" s="42">
        <v>1063</v>
      </c>
      <c r="G6" s="28">
        <f t="shared" si="1"/>
        <v>36</v>
      </c>
      <c r="H6" s="7"/>
    </row>
    <row r="7" spans="2:8" x14ac:dyDescent="0.2">
      <c r="B7" s="5" t="s">
        <v>4</v>
      </c>
      <c r="C7" s="28">
        <v>1185</v>
      </c>
      <c r="D7" s="42">
        <v>1146</v>
      </c>
      <c r="E7" s="28">
        <f t="shared" si="0"/>
        <v>39</v>
      </c>
      <c r="F7" s="42">
        <v>1193</v>
      </c>
      <c r="G7" s="28">
        <f t="shared" si="1"/>
        <v>-8</v>
      </c>
      <c r="H7" s="7"/>
    </row>
    <row r="8" spans="2:8" x14ac:dyDescent="0.2">
      <c r="B8" s="5" t="s">
        <v>5</v>
      </c>
      <c r="C8" s="28">
        <v>433</v>
      </c>
      <c r="D8" s="42">
        <v>409</v>
      </c>
      <c r="E8" s="28">
        <f t="shared" si="0"/>
        <v>24</v>
      </c>
      <c r="F8" s="42">
        <v>437</v>
      </c>
      <c r="G8" s="28">
        <f t="shared" si="1"/>
        <v>-4</v>
      </c>
      <c r="H8" s="7"/>
    </row>
    <row r="9" spans="2:8" x14ac:dyDescent="0.2">
      <c r="B9" s="9" t="s">
        <v>6</v>
      </c>
      <c r="C9" s="28">
        <v>564</v>
      </c>
      <c r="D9" s="42">
        <v>533</v>
      </c>
      <c r="E9" s="28">
        <f t="shared" si="0"/>
        <v>31</v>
      </c>
      <c r="F9" s="42">
        <v>554</v>
      </c>
      <c r="G9" s="28">
        <f t="shared" si="1"/>
        <v>10</v>
      </c>
      <c r="H9" s="7"/>
    </row>
    <row r="10" spans="2:8" x14ac:dyDescent="0.2">
      <c r="B10" s="5" t="s">
        <v>7</v>
      </c>
      <c r="C10" s="28">
        <v>370</v>
      </c>
      <c r="D10" s="42">
        <v>360</v>
      </c>
      <c r="E10" s="28">
        <f t="shared" si="0"/>
        <v>10</v>
      </c>
      <c r="F10" s="42">
        <v>388</v>
      </c>
      <c r="G10" s="28">
        <f t="shared" si="1"/>
        <v>-18</v>
      </c>
      <c r="H10" s="7"/>
    </row>
    <row r="11" spans="2:8" x14ac:dyDescent="0.2">
      <c r="B11" s="5" t="s">
        <v>8</v>
      </c>
      <c r="C11" s="28">
        <v>774</v>
      </c>
      <c r="D11" s="42">
        <v>747</v>
      </c>
      <c r="E11" s="28">
        <f t="shared" si="0"/>
        <v>27</v>
      </c>
      <c r="F11" s="42">
        <v>809</v>
      </c>
      <c r="G11" s="28">
        <f t="shared" si="1"/>
        <v>-35</v>
      </c>
      <c r="H11" s="7"/>
    </row>
    <row r="12" spans="2:8" x14ac:dyDescent="0.2">
      <c r="B12" s="5" t="s">
        <v>9</v>
      </c>
      <c r="C12" s="28">
        <v>435</v>
      </c>
      <c r="D12" s="42">
        <v>407</v>
      </c>
      <c r="E12" s="28">
        <f t="shared" si="0"/>
        <v>28</v>
      </c>
      <c r="F12" s="42">
        <v>477</v>
      </c>
      <c r="G12" s="28">
        <f t="shared" si="1"/>
        <v>-42</v>
      </c>
      <c r="H12" s="7"/>
    </row>
    <row r="13" spans="2:8" x14ac:dyDescent="0.2">
      <c r="B13" s="5" t="s">
        <v>10</v>
      </c>
      <c r="C13" s="28">
        <v>760</v>
      </c>
      <c r="D13" s="42">
        <v>708</v>
      </c>
      <c r="E13" s="28">
        <f t="shared" si="0"/>
        <v>52</v>
      </c>
      <c r="F13" s="42">
        <v>707</v>
      </c>
      <c r="G13" s="28">
        <f t="shared" si="1"/>
        <v>53</v>
      </c>
      <c r="H13" s="7"/>
    </row>
    <row r="14" spans="2:8" x14ac:dyDescent="0.2">
      <c r="B14" s="5" t="s">
        <v>11</v>
      </c>
      <c r="C14" s="28">
        <v>840</v>
      </c>
      <c r="D14" s="42">
        <v>769</v>
      </c>
      <c r="E14" s="28">
        <f t="shared" si="0"/>
        <v>71</v>
      </c>
      <c r="F14" s="42">
        <v>776</v>
      </c>
      <c r="G14" s="28">
        <f t="shared" si="1"/>
        <v>64</v>
      </c>
      <c r="H14" s="7"/>
    </row>
    <row r="15" spans="2:8" x14ac:dyDescent="0.2">
      <c r="B15" s="5" t="s">
        <v>12</v>
      </c>
      <c r="C15" s="28">
        <v>735</v>
      </c>
      <c r="D15" s="42">
        <v>734</v>
      </c>
      <c r="E15" s="28">
        <f t="shared" si="0"/>
        <v>1</v>
      </c>
      <c r="F15" s="42">
        <v>798</v>
      </c>
      <c r="G15" s="28">
        <f t="shared" si="1"/>
        <v>-63</v>
      </c>
      <c r="H15" s="7"/>
    </row>
    <row r="16" spans="2:8" x14ac:dyDescent="0.2">
      <c r="B16" s="5" t="s">
        <v>13</v>
      </c>
      <c r="C16" s="28">
        <v>768</v>
      </c>
      <c r="D16" s="42">
        <v>766</v>
      </c>
      <c r="E16" s="28">
        <f t="shared" si="0"/>
        <v>2</v>
      </c>
      <c r="F16" s="42">
        <v>713</v>
      </c>
      <c r="G16" s="28">
        <f t="shared" si="1"/>
        <v>55</v>
      </c>
      <c r="H16" s="7"/>
    </row>
    <row r="17" spans="2:8" x14ac:dyDescent="0.2">
      <c r="B17" s="5" t="s">
        <v>14</v>
      </c>
      <c r="C17" s="28">
        <v>928</v>
      </c>
      <c r="D17" s="42">
        <v>855</v>
      </c>
      <c r="E17" s="28">
        <f t="shared" si="0"/>
        <v>73</v>
      </c>
      <c r="F17" s="42">
        <v>902</v>
      </c>
      <c r="G17" s="28">
        <f t="shared" si="1"/>
        <v>26</v>
      </c>
      <c r="H17" s="7"/>
    </row>
    <row r="18" spans="2:8" x14ac:dyDescent="0.2">
      <c r="B18" s="5" t="s">
        <v>15</v>
      </c>
      <c r="C18" s="28">
        <v>806</v>
      </c>
      <c r="D18" s="42">
        <v>769</v>
      </c>
      <c r="E18" s="28">
        <f t="shared" si="0"/>
        <v>37</v>
      </c>
      <c r="F18" s="42">
        <v>757</v>
      </c>
      <c r="G18" s="28">
        <f t="shared" si="1"/>
        <v>49</v>
      </c>
      <c r="H18" s="7"/>
    </row>
    <row r="19" spans="2:8" x14ac:dyDescent="0.2">
      <c r="B19" s="5" t="s">
        <v>16</v>
      </c>
      <c r="C19" s="28">
        <v>1190</v>
      </c>
      <c r="D19" s="42">
        <v>1170</v>
      </c>
      <c r="E19" s="28">
        <f t="shared" si="0"/>
        <v>20</v>
      </c>
      <c r="F19" s="42">
        <v>1217</v>
      </c>
      <c r="G19" s="28">
        <f t="shared" si="1"/>
        <v>-27</v>
      </c>
      <c r="H19" s="7"/>
    </row>
    <row r="20" spans="2:8" x14ac:dyDescent="0.2">
      <c r="B20" s="5" t="s">
        <v>17</v>
      </c>
      <c r="C20" s="28">
        <v>739</v>
      </c>
      <c r="D20" s="42">
        <v>734</v>
      </c>
      <c r="E20" s="28">
        <f t="shared" si="0"/>
        <v>5</v>
      </c>
      <c r="F20" s="42">
        <v>689</v>
      </c>
      <c r="G20" s="28">
        <f t="shared" si="1"/>
        <v>50</v>
      </c>
      <c r="H20" s="7"/>
    </row>
    <row r="21" spans="2:8" x14ac:dyDescent="0.2">
      <c r="B21" s="5" t="s">
        <v>18</v>
      </c>
      <c r="C21" s="28">
        <v>529</v>
      </c>
      <c r="D21" s="42">
        <v>521</v>
      </c>
      <c r="E21" s="28">
        <f t="shared" si="0"/>
        <v>8</v>
      </c>
      <c r="F21" s="42">
        <v>496</v>
      </c>
      <c r="G21" s="28">
        <f t="shared" si="1"/>
        <v>33</v>
      </c>
      <c r="H21" s="7"/>
    </row>
    <row r="22" spans="2:8" x14ac:dyDescent="0.2">
      <c r="B22" s="5" t="s">
        <v>19</v>
      </c>
      <c r="C22" s="28">
        <v>824</v>
      </c>
      <c r="D22" s="42">
        <v>827</v>
      </c>
      <c r="E22" s="28">
        <f t="shared" si="0"/>
        <v>-3</v>
      </c>
      <c r="F22" s="42">
        <v>802</v>
      </c>
      <c r="G22" s="28">
        <f t="shared" si="1"/>
        <v>22</v>
      </c>
      <c r="H22" s="7"/>
    </row>
    <row r="23" spans="2:8" x14ac:dyDescent="0.2">
      <c r="B23" s="5" t="s">
        <v>20</v>
      </c>
      <c r="C23" s="28">
        <v>326</v>
      </c>
      <c r="D23" s="42">
        <v>322</v>
      </c>
      <c r="E23" s="28">
        <f t="shared" si="0"/>
        <v>4</v>
      </c>
      <c r="F23" s="42">
        <v>316</v>
      </c>
      <c r="G23" s="28">
        <f t="shared" si="1"/>
        <v>10</v>
      </c>
      <c r="H23" s="7"/>
    </row>
    <row r="24" spans="2:8" x14ac:dyDescent="0.2">
      <c r="B24" s="5" t="s">
        <v>21</v>
      </c>
      <c r="C24" s="28">
        <v>170</v>
      </c>
      <c r="D24" s="42">
        <v>160</v>
      </c>
      <c r="E24" s="28">
        <f t="shared" si="0"/>
        <v>10</v>
      </c>
      <c r="F24" s="42">
        <v>146</v>
      </c>
      <c r="G24" s="28">
        <f t="shared" si="1"/>
        <v>24</v>
      </c>
      <c r="H24" s="7"/>
    </row>
    <row r="25" spans="2:8" x14ac:dyDescent="0.2">
      <c r="B25" s="5" t="s">
        <v>22</v>
      </c>
      <c r="C25" s="28">
        <v>440</v>
      </c>
      <c r="D25" s="42">
        <v>404</v>
      </c>
      <c r="E25" s="28">
        <f t="shared" si="0"/>
        <v>36</v>
      </c>
      <c r="F25" s="42">
        <v>430</v>
      </c>
      <c r="G25" s="28">
        <f t="shared" si="1"/>
        <v>10</v>
      </c>
      <c r="H25" s="7"/>
    </row>
    <row r="26" spans="2:8" x14ac:dyDescent="0.2">
      <c r="B26" s="5" t="s">
        <v>23</v>
      </c>
      <c r="C26" s="28">
        <v>983</v>
      </c>
      <c r="D26" s="42">
        <v>921</v>
      </c>
      <c r="E26" s="28">
        <f t="shared" si="0"/>
        <v>62</v>
      </c>
      <c r="F26" s="42">
        <v>963</v>
      </c>
      <c r="G26" s="28">
        <f t="shared" si="1"/>
        <v>20</v>
      </c>
      <c r="H26" s="7"/>
    </row>
    <row r="27" spans="2:8" x14ac:dyDescent="0.2">
      <c r="B27" s="5" t="s">
        <v>24</v>
      </c>
      <c r="C27" s="28">
        <v>214</v>
      </c>
      <c r="D27" s="42">
        <v>199</v>
      </c>
      <c r="E27" s="28">
        <f t="shared" si="0"/>
        <v>15</v>
      </c>
      <c r="F27" s="42">
        <v>224</v>
      </c>
      <c r="G27" s="28">
        <f t="shared" si="1"/>
        <v>-10</v>
      </c>
      <c r="H27" s="7"/>
    </row>
    <row r="28" spans="2:8" ht="15" x14ac:dyDescent="0.25">
      <c r="B28" s="39" t="s">
        <v>25</v>
      </c>
      <c r="C28" s="48">
        <f>SUM(C3:C27)</f>
        <v>17001</v>
      </c>
      <c r="D28" s="44">
        <f>SUM(D3:D27)</f>
        <v>16341</v>
      </c>
      <c r="E28" s="48">
        <f>SUM(E3:E27)</f>
        <v>660</v>
      </c>
      <c r="F28" s="44">
        <f>SUM(F3:F27)</f>
        <v>16739</v>
      </c>
      <c r="G28" s="48">
        <f>SUM(G3:G27)</f>
        <v>262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2024-08-27T10:29:18Z</cp:lastPrinted>
  <dcterms:created xsi:type="dcterms:W3CDTF">2016-08-02T05:46:03Z</dcterms:created>
  <dcterms:modified xsi:type="dcterms:W3CDTF">2024-10-17T10:07:11Z</dcterms:modified>
</cp:coreProperties>
</file>